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E8D3" lockStructure="1"/>
  <bookViews>
    <workbookView xWindow="0" yWindow="0" windowWidth="28800" windowHeight="12450"/>
  </bookViews>
  <sheets>
    <sheet name="控除額" sheetId="4" r:id="rId1"/>
    <sheet name="計算 (3)" sheetId="8" state="hidden" r:id="rId2"/>
    <sheet name="計算 (2)" sheetId="7" state="hidden" r:id="rId3"/>
    <sheet name="計算" sheetId="3" state="hidden" r:id="rId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mn-2064suzuki</author>
  </authors>
  <commentList>
    <comment ref="B40" authorId="0">
      <text>
        <r>
          <rPr>
            <sz val="9"/>
            <color indexed="81"/>
            <rFont val="ＭＳ Ｐゴシック"/>
          </rPr>
          <t>？勤労学生とは？
　1.給与所得など、勤労による所得があること
　2.合計所得が85万円以下（収入だと150万円以下）、かつ勤労によらない所得が10万円以下であること
　3.学生であること
上の三つの要件をすべて満たした方のことを指します。</t>
        </r>
      </text>
    </comment>
    <comment ref="R21" authorId="0">
      <text>
        <r>
          <rPr>
            <b/>
            <sz val="9"/>
            <color indexed="81"/>
            <rFont val="ＭＳ Ｐゴシック"/>
          </rPr>
          <t xml:space="preserve">
</t>
        </r>
        <r>
          <rPr>
            <sz val="9"/>
            <color indexed="81"/>
            <rFont val="ＭＳ Ｐゴシック"/>
          </rPr>
          <t>？ワンストップ特例制度とは？
《どんな制度？？》
　ふるさと納税をする際に納税先の自治体へ特例適用の申請書を提出することで、
　確定申告をしなくても翌年の住民税から寄附金控除を受けられる制度です。
　確定申告をした場合は所得税と住民税それぞれから控除されますが、この特例制度を利用すると、全額住民税からの控除となります。
　寄付をすることで所得税率が変わってしまう方（シミュレーションで出た寄附金額を入れても自己負担額が2,000円にならない方）は、
　ワンストップ特例制度を利用すると最大まで控除を受けられる可能性があります。
《対象になる人は？？》
　・寄付をした自治体の数が5つ以内の方
　　※1つの団体に2回以上寄付した場合でも1回としてカウントされます。
　・給与等の支払いを受けていて、かつ確定申告が不要な方
　　※以下の方は確定申告が必要となるため、この制度の対象にはなりません。
　　・そもそも確定申告を行わなければならない自営業者の方
　　・給与収入が2,000万円以上（公的年金等の場合は400万円以上）の方
　　・年末調整をされていない給与と給与以外の収入および所得が20万円を超える方
　　・加えたい控除（医療費控除や初年度の住宅借入金等特別控除、年末調整時に漏れてしまった控除など）がある方　等
《対象にならなかった人が寄附金控除を受けるには？？》
　確定申告をしていただきますと、所得税、住民税から控除を受けられます。
　中標津町公式ホームページや国税庁、総務省のホームページなどにより詳しい制度についての説明がございますので、
　そちらもお読みいただけますと幸いです。
　また、このシミュレーションや税金からの控除に関してご不明な点などございましたら中標津町役場税務課（℡0153－73－3111）までお問い合わせくださいませ。</t>
        </r>
      </text>
    </comment>
    <comment ref="C27" authorId="0">
      <text>
        <r>
          <rPr>
            <sz val="9"/>
            <color indexed="81"/>
            <rFont val="ＭＳ Ｐゴシック"/>
          </rPr>
          <t>？特別障がい者とは？
主に以下の要件を満たした方のことを指します。詳しくは国税庁ホームページをご覧ください。
　１．精神上の場外により事理を弁識する能力を欠く常況にある方
　２．精神保健指定医などにより重度の知的障害者と判定された方
　３．精神障害者保健福祉手帳（1級）の交付を受けている方
　４．身体障害者手帳に身体上の障がいがある者として記載されている方（1級または2級）
　５．いつも就床していて、複雑な介護を受けなければならない方</t>
        </r>
      </text>
    </comment>
  </commentList>
</comments>
</file>

<file path=xl/sharedStrings.xml><?xml version="1.0" encoding="utf-8"?>
<sst xmlns="http://schemas.openxmlformats.org/spreadsheetml/2006/main" xmlns:r="http://schemas.openxmlformats.org/officeDocument/2006/relationships" count="299" uniqueCount="299">
  <si>
    <t>障がい者</t>
    <rPh sb="0" eb="1">
      <t>ショウ</t>
    </rPh>
    <rPh sb="3" eb="4">
      <t>シャ</t>
    </rPh>
    <phoneticPr fontId="1"/>
  </si>
  <si>
    <t>同居の特別障害</t>
    <rPh sb="0" eb="2">
      <t>ドウキョ</t>
    </rPh>
    <rPh sb="3" eb="5">
      <t>トクベツ</t>
    </rPh>
    <rPh sb="5" eb="7">
      <t>ショウガイ</t>
    </rPh>
    <phoneticPr fontId="1"/>
  </si>
  <si>
    <t>課税総所得金額</t>
    <rPh sb="0" eb="2">
      <t>カゼイ</t>
    </rPh>
    <rPh sb="2" eb="5">
      <t>ソウショトク</t>
    </rPh>
    <rPh sb="5" eb="7">
      <t>キンガク</t>
    </rPh>
    <phoneticPr fontId="1"/>
  </si>
  <si>
    <t>いる（65歳以上69歳以下）</t>
    <rPh sb="5" eb="8">
      <t>サイイジョウ</t>
    </rPh>
    <rPh sb="10" eb="11">
      <t>サイ</t>
    </rPh>
    <rPh sb="11" eb="13">
      <t>イカ</t>
    </rPh>
    <phoneticPr fontId="1"/>
  </si>
  <si>
    <t>配偶者給与収入</t>
    <rPh sb="0" eb="3">
      <t>ハイグウシャ</t>
    </rPh>
    <rPh sb="3" eb="5">
      <t>キュウヨ</t>
    </rPh>
    <rPh sb="5" eb="7">
      <t>シュウニュウ</t>
    </rPh>
    <phoneticPr fontId="1"/>
  </si>
  <si>
    <t>給与収入</t>
    <rPh sb="0" eb="2">
      <t>キュウヨ</t>
    </rPh>
    <rPh sb="2" eb="4">
      <t>シュウニュウ</t>
    </rPh>
    <phoneticPr fontId="1"/>
  </si>
  <si>
    <t>所得税（仮）</t>
    <rPh sb="0" eb="3">
      <t>ショトクゼイ</t>
    </rPh>
    <rPh sb="4" eb="5">
      <t>カリ</t>
    </rPh>
    <phoneticPr fontId="1"/>
  </si>
  <si>
    <t>64歳以下</t>
    <rPh sb="2" eb="5">
      <t>サイイカ</t>
    </rPh>
    <phoneticPr fontId="1"/>
  </si>
  <si>
    <t>生命保険料の控除額</t>
    <rPh sb="0" eb="2">
      <t>セイメイ</t>
    </rPh>
    <rPh sb="2" eb="5">
      <t>ホケンリョウ</t>
    </rPh>
    <rPh sb="6" eb="8">
      <t>コウジョ</t>
    </rPh>
    <rPh sb="8" eb="9">
      <t>ガク</t>
    </rPh>
    <phoneticPr fontId="1"/>
  </si>
  <si>
    <t>②</t>
  </si>
  <si>
    <t>社会保険料等の支払金額</t>
    <rPh sb="0" eb="2">
      <t>シャカイ</t>
    </rPh>
    <rPh sb="2" eb="5">
      <t>ホケンリョウ</t>
    </rPh>
    <rPh sb="5" eb="6">
      <t>トウ</t>
    </rPh>
    <rPh sb="7" eb="9">
      <t>シハライ</t>
    </rPh>
    <rPh sb="9" eb="11">
      <t>キンガク</t>
    </rPh>
    <phoneticPr fontId="1"/>
  </si>
  <si>
    <t xml:space="preserve"> （所）控除合計額</t>
    <rPh sb="2" eb="3">
      <t>ショ</t>
    </rPh>
    <rPh sb="4" eb="6">
      <t>コウジョ</t>
    </rPh>
    <rPh sb="6" eb="8">
      <t>ゴウケイ</t>
    </rPh>
    <rPh sb="8" eb="9">
      <t>ガク</t>
    </rPh>
    <phoneticPr fontId="1"/>
  </si>
  <si>
    <t>給与所得</t>
    <rPh sb="0" eb="2">
      <t>キュウヨ</t>
    </rPh>
    <rPh sb="2" eb="4">
      <t>ショトク</t>
    </rPh>
    <phoneticPr fontId="1"/>
  </si>
  <si>
    <t>寡婦の対象か</t>
    <rPh sb="0" eb="2">
      <t>カフ</t>
    </rPh>
    <rPh sb="3" eb="5">
      <t>タイショウ</t>
    </rPh>
    <phoneticPr fontId="1"/>
  </si>
  <si>
    <t xml:space="preserve"> （住）控除合計額</t>
    <rPh sb="2" eb="3">
      <t>ジュウ</t>
    </rPh>
    <rPh sb="4" eb="6">
      <t>コウジョ</t>
    </rPh>
    <rPh sb="6" eb="8">
      <t>ゴウケイ</t>
    </rPh>
    <rPh sb="8" eb="9">
      <t>ガク</t>
    </rPh>
    <phoneticPr fontId="1"/>
  </si>
  <si>
    <t>配偶者の有無</t>
    <rPh sb="0" eb="3">
      <t>ハイグウシャ</t>
    </rPh>
    <rPh sb="4" eb="6">
      <t>ウム</t>
    </rPh>
    <phoneticPr fontId="1"/>
  </si>
  <si>
    <t>扶養</t>
    <rPh sb="0" eb="2">
      <t>フヨウ</t>
    </rPh>
    <phoneticPr fontId="1"/>
  </si>
  <si>
    <t>小規模企業共済等掛金の金額</t>
    <rPh sb="0" eb="3">
      <t>ショウキボ</t>
    </rPh>
    <rPh sb="3" eb="5">
      <t>キギョウ</t>
    </rPh>
    <rPh sb="5" eb="7">
      <t>キョウサイ</t>
    </rPh>
    <rPh sb="7" eb="8">
      <t>トウ</t>
    </rPh>
    <rPh sb="8" eb="10">
      <t>カケキン</t>
    </rPh>
    <rPh sb="11" eb="13">
      <t>キンガク</t>
    </rPh>
    <phoneticPr fontId="1"/>
  </si>
  <si>
    <t>計算欄</t>
    <rPh sb="0" eb="2">
      <t>ケイサン</t>
    </rPh>
    <rPh sb="2" eb="3">
      <t>ラン</t>
    </rPh>
    <phoneticPr fontId="1"/>
  </si>
  <si>
    <t>合計所得</t>
    <rPh sb="0" eb="2">
      <t>ゴウケイ</t>
    </rPh>
    <rPh sb="2" eb="4">
      <t>ショトク</t>
    </rPh>
    <phoneticPr fontId="1"/>
  </si>
  <si>
    <t>一般の障害</t>
    <rPh sb="0" eb="2">
      <t>イッパン</t>
    </rPh>
    <rPh sb="3" eb="5">
      <t>ショウガイ</t>
    </rPh>
    <phoneticPr fontId="1"/>
  </si>
  <si>
    <t>⑤</t>
  </si>
  <si>
    <t>地震保険料の控除額</t>
    <rPh sb="0" eb="2">
      <t>ジシン</t>
    </rPh>
    <rPh sb="2" eb="5">
      <t>ホケンリョウ</t>
    </rPh>
    <rPh sb="6" eb="8">
      <t>コウジョ</t>
    </rPh>
    <rPh sb="8" eb="9">
      <t>ガク</t>
    </rPh>
    <phoneticPr fontId="1"/>
  </si>
  <si>
    <t>医療費控除の金額</t>
    <rPh sb="0" eb="3">
      <t>イリョウヒ</t>
    </rPh>
    <rPh sb="3" eb="5">
      <t>コウジョ</t>
    </rPh>
    <rPh sb="6" eb="8">
      <t>キンガク</t>
    </rPh>
    <phoneticPr fontId="1"/>
  </si>
  <si>
    <t>旧生命</t>
    <rPh sb="0" eb="1">
      <t>キュウ</t>
    </rPh>
    <rPh sb="1" eb="3">
      <t>セイメイ</t>
    </rPh>
    <phoneticPr fontId="1"/>
  </si>
  <si>
    <t>住宅借入金等特別控除額</t>
    <rPh sb="0" eb="2">
      <t>ジュウタク</t>
    </rPh>
    <rPh sb="2" eb="4">
      <t>カリイレ</t>
    </rPh>
    <rPh sb="4" eb="5">
      <t>キン</t>
    </rPh>
    <rPh sb="5" eb="6">
      <t>トウ</t>
    </rPh>
    <rPh sb="6" eb="8">
      <t>トクベツ</t>
    </rPh>
    <rPh sb="8" eb="10">
      <t>コウジョ</t>
    </rPh>
    <rPh sb="10" eb="11">
      <t>ガク</t>
    </rPh>
    <phoneticPr fontId="1"/>
  </si>
  <si>
    <t>=</t>
  </si>
  <si>
    <t>ひとり親（女性）</t>
    <rPh sb="3" eb="4">
      <t>オヤ</t>
    </rPh>
    <rPh sb="5" eb="7">
      <t>ジョセイ</t>
    </rPh>
    <phoneticPr fontId="1"/>
  </si>
  <si>
    <t/>
  </si>
  <si>
    <t xml:space="preserve"> （住）住民税分住借控除</t>
    <rPh sb="2" eb="3">
      <t>ジュウ</t>
    </rPh>
    <rPh sb="4" eb="7">
      <t>ジュウミンゼイ</t>
    </rPh>
    <rPh sb="7" eb="8">
      <t>ブン</t>
    </rPh>
    <rPh sb="8" eb="9">
      <t>ジュウ</t>
    </rPh>
    <rPh sb="9" eb="10">
      <t>カ</t>
    </rPh>
    <rPh sb="10" eb="12">
      <t>コウジョ</t>
    </rPh>
    <phoneticPr fontId="1"/>
  </si>
  <si>
    <t>地震保険料</t>
    <rPh sb="0" eb="2">
      <t>ジシン</t>
    </rPh>
    <rPh sb="2" eb="4">
      <t>ホケン</t>
    </rPh>
    <rPh sb="4" eb="5">
      <t>リョウ</t>
    </rPh>
    <phoneticPr fontId="1"/>
  </si>
  <si>
    <t>いない</t>
  </si>
  <si>
    <t>介護保険料</t>
    <rPh sb="0" eb="2">
      <t>カイゴ</t>
    </rPh>
    <rPh sb="2" eb="5">
      <t>ホケンリョウ</t>
    </rPh>
    <phoneticPr fontId="1"/>
  </si>
  <si>
    <t>勤労学生</t>
    <rPh sb="0" eb="2">
      <t>キンロウ</t>
    </rPh>
    <rPh sb="2" eb="4">
      <t>ガクセイ</t>
    </rPh>
    <phoneticPr fontId="1"/>
  </si>
  <si>
    <t>寡婦</t>
    <rPh sb="0" eb="2">
      <t>カフ</t>
    </rPh>
    <phoneticPr fontId="1"/>
  </si>
  <si>
    <t>以上</t>
    <rPh sb="0" eb="2">
      <t>イジョウ</t>
    </rPh>
    <phoneticPr fontId="1"/>
  </si>
  <si>
    <t>4人目</t>
    <rPh sb="1" eb="2">
      <t>ニン</t>
    </rPh>
    <rPh sb="2" eb="3">
      <t>メ</t>
    </rPh>
    <phoneticPr fontId="1"/>
  </si>
  <si>
    <t xml:space="preserve"> 均等割</t>
    <rPh sb="1" eb="4">
      <t>キントウワ</t>
    </rPh>
    <phoneticPr fontId="1"/>
  </si>
  <si>
    <t>旧個人</t>
    <rPh sb="0" eb="1">
      <t>キュウ</t>
    </rPh>
    <rPh sb="1" eb="3">
      <t>コジン</t>
    </rPh>
    <phoneticPr fontId="1"/>
  </si>
  <si>
    <t>非該当</t>
    <rPh sb="0" eb="3">
      <t>ヒガイトウ</t>
    </rPh>
    <phoneticPr fontId="1"/>
  </si>
  <si>
    <t>1人目</t>
    <rPh sb="1" eb="2">
      <t>ニン</t>
    </rPh>
    <rPh sb="2" eb="3">
      <t>メ</t>
    </rPh>
    <phoneticPr fontId="1"/>
  </si>
  <si>
    <t>旧個人年金保険料</t>
    <rPh sb="0" eb="1">
      <t>キュウ</t>
    </rPh>
    <rPh sb="1" eb="3">
      <t>コジン</t>
    </rPh>
    <rPh sb="3" eb="5">
      <t>ネンキン</t>
    </rPh>
    <rPh sb="5" eb="8">
      <t>ホケンリョウ</t>
    </rPh>
    <phoneticPr fontId="1"/>
  </si>
  <si>
    <t>勤労学生控除</t>
    <rPh sb="0" eb="2">
      <t>キンロウ</t>
    </rPh>
    <rPh sb="2" eb="4">
      <t>ガクセイ</t>
    </rPh>
    <rPh sb="4" eb="6">
      <t>コウジョ</t>
    </rPh>
    <phoneticPr fontId="1"/>
  </si>
  <si>
    <t>旧生命保険料</t>
    <rPh sb="0" eb="1">
      <t>キュウ</t>
    </rPh>
    <rPh sb="1" eb="3">
      <t>セイメイ</t>
    </rPh>
    <rPh sb="3" eb="5">
      <t>ホケン</t>
    </rPh>
    <rPh sb="5" eb="6">
      <t>リョウ</t>
    </rPh>
    <phoneticPr fontId="1"/>
  </si>
  <si>
    <t>別居老人扶養親族の人数</t>
    <rPh sb="0" eb="2">
      <t>ベッキョ</t>
    </rPh>
    <rPh sb="2" eb="4">
      <t>ロウジン</t>
    </rPh>
    <rPh sb="4" eb="6">
      <t>フヨウ</t>
    </rPh>
    <rPh sb="6" eb="8">
      <t>シンゾク</t>
    </rPh>
    <rPh sb="9" eb="10">
      <t>ヒト</t>
    </rPh>
    <rPh sb="10" eb="11">
      <t>カズ</t>
    </rPh>
    <phoneticPr fontId="1"/>
  </si>
  <si>
    <t>住民税額</t>
  </si>
  <si>
    <t>総所得</t>
    <rPh sb="0" eb="3">
      <t>ソウショトク</t>
    </rPh>
    <phoneticPr fontId="1"/>
  </si>
  <si>
    <t>給与</t>
    <rPh sb="0" eb="2">
      <t>キュウヨ</t>
    </rPh>
    <phoneticPr fontId="1"/>
  </si>
  <si>
    <t>課税所得額-（5万円＋人的控除の差）</t>
    <rPh sb="0" eb="2">
      <t>カゼイ</t>
    </rPh>
    <rPh sb="2" eb="4">
      <t>ショトク</t>
    </rPh>
    <rPh sb="4" eb="5">
      <t>ガク</t>
    </rPh>
    <rPh sb="8" eb="10">
      <t>マンエン</t>
    </rPh>
    <rPh sb="11" eb="13">
      <t>ジンテキ</t>
    </rPh>
    <rPh sb="13" eb="15">
      <t>コウジョ</t>
    </rPh>
    <rPh sb="16" eb="17">
      <t>サ</t>
    </rPh>
    <phoneticPr fontId="1"/>
  </si>
  <si>
    <t>扶養人数合計</t>
    <rPh sb="0" eb="2">
      <t>フヨウ</t>
    </rPh>
    <rPh sb="2" eb="4">
      <t>ニンズウ</t>
    </rPh>
    <rPh sb="4" eb="6">
      <t>ゴウケイ</t>
    </rPh>
    <phoneticPr fontId="1"/>
  </si>
  <si>
    <t>①</t>
  </si>
  <si>
    <t>　控除対象配偶者の有無</t>
    <rPh sb="1" eb="3">
      <t>コウジョ</t>
    </rPh>
    <rPh sb="3" eb="5">
      <t>タイショウ</t>
    </rPh>
    <rPh sb="5" eb="8">
      <t>ハイグウシャ</t>
    </rPh>
    <rPh sb="9" eb="11">
      <t>ウム</t>
    </rPh>
    <phoneticPr fontId="1"/>
  </si>
  <si>
    <t>ひとり親（男性）</t>
    <rPh sb="3" eb="4">
      <t>オヤ</t>
    </rPh>
    <rPh sb="5" eb="7">
      <t>ダンセイ</t>
    </rPh>
    <phoneticPr fontId="1"/>
  </si>
  <si>
    <t>（復興税率*102.1）</t>
    <rPh sb="1" eb="3">
      <t>フッコウ</t>
    </rPh>
    <rPh sb="3" eb="4">
      <t>ゼイ</t>
    </rPh>
    <rPh sb="4" eb="5">
      <t>リツ</t>
    </rPh>
    <phoneticPr fontId="1"/>
  </si>
  <si>
    <t>寄付金控除</t>
    <rPh sb="0" eb="3">
      <t>キフキン</t>
    </rPh>
    <rPh sb="3" eb="5">
      <t>コウジョ</t>
    </rPh>
    <phoneticPr fontId="1"/>
  </si>
  <si>
    <t>人的控除の差の額</t>
    <rPh sb="0" eb="2">
      <t>ジンテキ</t>
    </rPh>
    <rPh sb="2" eb="4">
      <t>コウジョ</t>
    </rPh>
    <rPh sb="5" eb="6">
      <t>サ</t>
    </rPh>
    <rPh sb="7" eb="8">
      <t>ガク</t>
    </rPh>
    <phoneticPr fontId="1"/>
  </si>
  <si>
    <t>　寄附金額</t>
    <rPh sb="1" eb="4">
      <t>キフキン</t>
    </rPh>
    <rPh sb="4" eb="5">
      <t>ガク</t>
    </rPh>
    <phoneticPr fontId="1"/>
  </si>
  <si>
    <t>配偶者（特別）控除額</t>
    <rPh sb="0" eb="3">
      <t>ハイグウシャ</t>
    </rPh>
    <rPh sb="4" eb="6">
      <t>トクベツ</t>
    </rPh>
    <rPh sb="7" eb="9">
      <t>コウジョ</t>
    </rPh>
    <rPh sb="9" eb="10">
      <t>ガク</t>
    </rPh>
    <phoneticPr fontId="1"/>
  </si>
  <si>
    <t>いる（70歳以上）</t>
    <rPh sb="5" eb="8">
      <t>サイイジョウ</t>
    </rPh>
    <phoneticPr fontId="1"/>
  </si>
  <si>
    <t>寡婦控除</t>
    <rPh sb="0" eb="2">
      <t>カフ</t>
    </rPh>
    <rPh sb="2" eb="4">
      <t>コウジョ</t>
    </rPh>
    <phoneticPr fontId="1"/>
  </si>
  <si>
    <t>障害控除</t>
    <rPh sb="0" eb="2">
      <t>ショウガイ</t>
    </rPh>
    <rPh sb="2" eb="4">
      <t>コウジョ</t>
    </rPh>
    <phoneticPr fontId="1"/>
  </si>
  <si>
    <t>社会保険料控除額</t>
    <rPh sb="0" eb="2">
      <t>シャカイ</t>
    </rPh>
    <rPh sb="2" eb="5">
      <t>ホケンリョウ</t>
    </rPh>
    <rPh sb="5" eb="7">
      <t>コウジョ</t>
    </rPh>
    <rPh sb="7" eb="8">
      <t>ガク</t>
    </rPh>
    <phoneticPr fontId="1"/>
  </si>
  <si>
    <t>個人年金合計</t>
    <rPh sb="0" eb="2">
      <t>コジン</t>
    </rPh>
    <rPh sb="2" eb="4">
      <t>ネンキン</t>
    </rPh>
    <rPh sb="4" eb="6">
      <t>ゴウケイ</t>
    </rPh>
    <phoneticPr fontId="1"/>
  </si>
  <si>
    <t>*0.05*1.021</t>
  </si>
  <si>
    <t>3人目</t>
    <rPh sb="1" eb="2">
      <t>ニン</t>
    </rPh>
    <rPh sb="2" eb="3">
      <t>メ</t>
    </rPh>
    <phoneticPr fontId="1"/>
  </si>
  <si>
    <t>ひとり親控除</t>
    <rPh sb="3" eb="6">
      <t>オヤコウジョ</t>
    </rPh>
    <phoneticPr fontId="1"/>
  </si>
  <si>
    <t>※公的年金収入のある方のみ</t>
    <rPh sb="1" eb="3">
      <t>コウテキ</t>
    </rPh>
    <rPh sb="3" eb="5">
      <t>ネンキン</t>
    </rPh>
    <rPh sb="5" eb="7">
      <t>シュウニュウ</t>
    </rPh>
    <rPh sb="10" eb="11">
      <t>カタ</t>
    </rPh>
    <phoneticPr fontId="1"/>
  </si>
  <si>
    <t>《配偶者控除》</t>
    <rPh sb="1" eb="4">
      <t>ハイグウシャ</t>
    </rPh>
    <rPh sb="4" eb="6">
      <t>コウジョ</t>
    </rPh>
    <phoneticPr fontId="1"/>
  </si>
  <si>
    <t>寄付金控除額（MAX）</t>
    <rPh sb="0" eb="3">
      <t>キフキン</t>
    </rPh>
    <rPh sb="3" eb="5">
      <t>コウジョ</t>
    </rPh>
    <rPh sb="5" eb="6">
      <t>ガク</t>
    </rPh>
    <phoneticPr fontId="1"/>
  </si>
  <si>
    <t>その他の所得</t>
    <rPh sb="2" eb="3">
      <t>タ</t>
    </rPh>
    <rPh sb="4" eb="6">
      <t>ショトク</t>
    </rPh>
    <phoneticPr fontId="1"/>
  </si>
  <si>
    <t>住民税額</t>
    <rPh sb="0" eb="3">
      <t>ジュウミンゼイ</t>
    </rPh>
    <rPh sb="3" eb="4">
      <t>ガク</t>
    </rPh>
    <phoneticPr fontId="1"/>
  </si>
  <si>
    <t>扶養+本人（税額計算用）</t>
    <rPh sb="0" eb="2">
      <t>フヨウ</t>
    </rPh>
    <rPh sb="3" eb="5">
      <t>ホンニン</t>
    </rPh>
    <rPh sb="6" eb="8">
      <t>ゼイガク</t>
    </rPh>
    <rPh sb="8" eb="11">
      <t>ケイサンヨウ</t>
    </rPh>
    <phoneticPr fontId="1"/>
  </si>
  <si>
    <t>寄付金特例控除（MAX)</t>
    <rPh sb="0" eb="3">
      <t>キフキン</t>
    </rPh>
    <rPh sb="3" eb="5">
      <t>トクレイ</t>
    </rPh>
    <rPh sb="5" eb="7">
      <t>コウジョ</t>
    </rPh>
    <phoneticPr fontId="1"/>
  </si>
  <si>
    <t>新個人年金保険料</t>
    <rPh sb="0" eb="1">
      <t>シン</t>
    </rPh>
    <rPh sb="1" eb="3">
      <t>コジン</t>
    </rPh>
    <rPh sb="3" eb="5">
      <t>ネンキン</t>
    </rPh>
    <rPh sb="5" eb="8">
      <t>ホケンリョウ</t>
    </rPh>
    <phoneticPr fontId="1"/>
  </si>
  <si>
    <t>寄付金限度額</t>
    <rPh sb="0" eb="3">
      <t>キフキン</t>
    </rPh>
    <rPh sb="3" eb="5">
      <t>ゲンド</t>
    </rPh>
    <rPh sb="5" eb="6">
      <t>ガク</t>
    </rPh>
    <phoneticPr fontId="1"/>
  </si>
  <si>
    <t>新生命</t>
    <rPh sb="0" eb="1">
      <t>シン</t>
    </rPh>
    <rPh sb="1" eb="3">
      <t>セイメイ</t>
    </rPh>
    <phoneticPr fontId="1"/>
  </si>
  <si>
    <t>介護保険合計</t>
    <rPh sb="0" eb="2">
      <t>カイゴ</t>
    </rPh>
    <rPh sb="2" eb="4">
      <t>ホケン</t>
    </rPh>
    <rPh sb="4" eb="6">
      <t>ゴウケイ</t>
    </rPh>
    <phoneticPr fontId="1"/>
  </si>
  <si>
    <t>新個人</t>
    <rPh sb="0" eb="1">
      <t>シン</t>
    </rPh>
    <rPh sb="1" eb="3">
      <t>コジン</t>
    </rPh>
    <phoneticPr fontId="1"/>
  </si>
  <si>
    <t>介護</t>
    <rPh sb="0" eb="2">
      <t>カイゴ</t>
    </rPh>
    <phoneticPr fontId="1"/>
  </si>
  <si>
    <t>　入居日を選択してください</t>
    <rPh sb="1" eb="4">
      <t>ニュウキョビ</t>
    </rPh>
    <rPh sb="5" eb="7">
      <t>センタク</t>
    </rPh>
    <phoneticPr fontId="1"/>
  </si>
  <si>
    <t>新生命保険料</t>
    <rPh sb="0" eb="1">
      <t>シン</t>
    </rPh>
    <rPh sb="1" eb="3">
      <t>セイメイ</t>
    </rPh>
    <rPh sb="3" eb="5">
      <t>ホケン</t>
    </rPh>
    <rPh sb="5" eb="6">
      <t>リョウ</t>
    </rPh>
    <phoneticPr fontId="1"/>
  </si>
  <si>
    <t>*0.5+7500</t>
  </si>
  <si>
    <t>*0.25+17500</t>
  </si>
  <si>
    <t>*0.5+6000</t>
  </si>
  <si>
    <t>*0.25+14000</t>
  </si>
  <si>
    <t>一般生命合計</t>
    <rPh sb="0" eb="2">
      <t>イッパン</t>
    </rPh>
    <rPh sb="2" eb="4">
      <t>セイメイ</t>
    </rPh>
    <rPh sb="4" eb="6">
      <t>ゴウケイ</t>
    </rPh>
    <phoneticPr fontId="1"/>
  </si>
  <si>
    <t>※あくまで概算です。　　　　　　　　　　　　　　　　　　　　　　　　　　　　　　　実際の金額と異なる場合がございますのでご了承ください。</t>
    <rPh sb="5" eb="7">
      <t>ガイサン</t>
    </rPh>
    <rPh sb="41" eb="43">
      <t>ジッサイ</t>
    </rPh>
    <rPh sb="44" eb="46">
      <t>キンガク</t>
    </rPh>
    <rPh sb="47" eb="48">
      <t>コト</t>
    </rPh>
    <rPh sb="50" eb="52">
      <t>バアイ</t>
    </rPh>
    <rPh sb="61" eb="63">
      <t>リョウショウ</t>
    </rPh>
    <phoneticPr fontId="1"/>
  </si>
  <si>
    <t>所得税</t>
    <rPh sb="0" eb="3">
      <t>ショトクゼイ</t>
    </rPh>
    <phoneticPr fontId="1"/>
  </si>
  <si>
    <t>ふるさと納税ワンストップ特例制度を利用した</t>
    <rPh sb="4" eb="6">
      <t>ノウゼイ</t>
    </rPh>
    <rPh sb="12" eb="14">
      <t>トクレイ</t>
    </rPh>
    <rPh sb="14" eb="16">
      <t>セイド</t>
    </rPh>
    <rPh sb="17" eb="19">
      <t>リヨウ</t>
    </rPh>
    <phoneticPr fontId="1"/>
  </si>
  <si>
    <t>所得税控除</t>
    <rPh sb="0" eb="3">
      <t>ショトクゼイ</t>
    </rPh>
    <rPh sb="3" eb="5">
      <t>コウジョ</t>
    </rPh>
    <phoneticPr fontId="1"/>
  </si>
  <si>
    <t>生命保険料合計</t>
    <rPh sb="0" eb="2">
      <t>セイメイ</t>
    </rPh>
    <rPh sb="2" eb="4">
      <t>ホケン</t>
    </rPh>
    <rPh sb="4" eb="5">
      <t>リョウ</t>
    </rPh>
    <rPh sb="5" eb="7">
      <t>ゴウケイ</t>
    </rPh>
    <phoneticPr fontId="1"/>
  </si>
  <si>
    <t xml:space="preserve"> （所）課税標準額</t>
    <rPh sb="2" eb="3">
      <t>ショ</t>
    </rPh>
    <rPh sb="4" eb="6">
      <t>カゼイ</t>
    </rPh>
    <rPh sb="6" eb="8">
      <t>ヒョウジュン</t>
    </rPh>
    <rPh sb="8" eb="9">
      <t>ガク</t>
    </rPh>
    <phoneticPr fontId="1"/>
  </si>
  <si>
    <t>所得税率</t>
    <rPh sb="0" eb="2">
      <t>ショトク</t>
    </rPh>
    <rPh sb="2" eb="4">
      <t>ゼイリツ</t>
    </rPh>
    <phoneticPr fontId="1"/>
  </si>
  <si>
    <t>控除額合計</t>
    <rPh sb="0" eb="2">
      <t>コウジョ</t>
    </rPh>
    <rPh sb="2" eb="3">
      <t>ガク</t>
    </rPh>
    <rPh sb="3" eb="5">
      <t>ゴウケイ</t>
    </rPh>
    <phoneticPr fontId="1"/>
  </si>
  <si>
    <t>人的控除</t>
    <rPh sb="0" eb="2">
      <t>ジンテキ</t>
    </rPh>
    <rPh sb="2" eb="4">
      <t>コウジョ</t>
    </rPh>
    <phoneticPr fontId="1"/>
  </si>
  <si>
    <t>特例控除額</t>
    <rPh sb="0" eb="2">
      <t>トクレイ</t>
    </rPh>
    <rPh sb="2" eb="4">
      <t>コウジョ</t>
    </rPh>
    <rPh sb="4" eb="5">
      <t>ガク</t>
    </rPh>
    <phoneticPr fontId="1"/>
  </si>
  <si>
    <t>⑥生命保険料控除</t>
    <rPh sb="1" eb="3">
      <t>セイメイ</t>
    </rPh>
    <rPh sb="3" eb="6">
      <t>ホケンリョウ</t>
    </rPh>
    <rPh sb="6" eb="8">
      <t>コウジョ</t>
    </rPh>
    <phoneticPr fontId="1"/>
  </si>
  <si>
    <t>所得税分寄付金控除額</t>
    <rPh sb="0" eb="3">
      <t>ショトクゼイ</t>
    </rPh>
    <rPh sb="3" eb="4">
      <t>ブン</t>
    </rPh>
    <rPh sb="4" eb="7">
      <t>キフキン</t>
    </rPh>
    <rPh sb="7" eb="9">
      <t>コウジョ</t>
    </rPh>
    <rPh sb="9" eb="10">
      <t>ガク</t>
    </rPh>
    <phoneticPr fontId="1"/>
  </si>
  <si>
    <t>*100/84.895</t>
  </si>
  <si>
    <t>*100/79.79</t>
  </si>
  <si>
    <t>*100/69.58</t>
  </si>
  <si>
    <t>←このマスは選択肢からお選びください。</t>
    <rPh sb="6" eb="9">
      <t>センタクシ</t>
    </rPh>
    <rPh sb="12" eb="13">
      <t>エラ</t>
    </rPh>
    <phoneticPr fontId="1"/>
  </si>
  <si>
    <t>所得税の課税標準額</t>
    <rPh sb="0" eb="3">
      <t>ショトクゼイ</t>
    </rPh>
    <rPh sb="4" eb="9">
      <t>カゼイヒョウジュンガク</t>
    </rPh>
    <phoneticPr fontId="1"/>
  </si>
  <si>
    <t>*100/66.517</t>
  </si>
  <si>
    <t>*100/56.307</t>
  </si>
  <si>
    <t>*100/49.16</t>
  </si>
  <si>
    <t>⑨</t>
  </si>
  <si>
    <t>*100/44.055</t>
  </si>
  <si>
    <t>《扶養控除》</t>
    <rPh sb="1" eb="3">
      <t>フヨウ</t>
    </rPh>
    <rPh sb="3" eb="5">
      <t>コウジョ</t>
    </rPh>
    <phoneticPr fontId="1"/>
  </si>
  <si>
    <t>*0.1*1.021</t>
  </si>
  <si>
    <t>*0.2*1.021</t>
  </si>
  <si>
    <t>*0.23*1.021</t>
  </si>
  <si>
    <t>年金収入</t>
    <rPh sb="0" eb="2">
      <t>ネンキン</t>
    </rPh>
    <rPh sb="2" eb="4">
      <t>シュウニュウ</t>
    </rPh>
    <phoneticPr fontId="1"/>
  </si>
  <si>
    <t>*0.33*1.021</t>
  </si>
  <si>
    <t>*0.4*1.021</t>
  </si>
  <si>
    <t>*0.45*1.021</t>
  </si>
  <si>
    <t>寄付金の上限を知りたい人へ</t>
    <rPh sb="0" eb="3">
      <t>キフキン</t>
    </rPh>
    <rPh sb="4" eb="6">
      <t>ジョウゲン</t>
    </rPh>
    <rPh sb="7" eb="8">
      <t>シ</t>
    </rPh>
    <rPh sb="11" eb="12">
      <t>ヒト</t>
    </rPh>
    <phoneticPr fontId="1"/>
  </si>
  <si>
    <t xml:space="preserve">   実際に受けられる控除額は、下の「寄附金控除前後の所得税額及び住民税額（概算）」を参考にしてください。</t>
    <rPh sb="19" eb="21">
      <t>キフ</t>
    </rPh>
    <phoneticPr fontId="1"/>
  </si>
  <si>
    <t>※実質負担額が2,000円を超えず、かつ控除を最大まで受けられる寄附金額を表示していますが、</t>
    <rPh sb="1" eb="3">
      <t>ジッシツ</t>
    </rPh>
    <rPh sb="3" eb="5">
      <t>フタン</t>
    </rPh>
    <rPh sb="5" eb="6">
      <t>ガク</t>
    </rPh>
    <rPh sb="12" eb="13">
      <t>エン</t>
    </rPh>
    <rPh sb="14" eb="15">
      <t>コ</t>
    </rPh>
    <rPh sb="20" eb="22">
      <t>コウジョ</t>
    </rPh>
    <rPh sb="23" eb="25">
      <t>サイダイ</t>
    </rPh>
    <rPh sb="27" eb="28">
      <t>ウ</t>
    </rPh>
    <rPh sb="32" eb="35">
      <t>キフキン</t>
    </rPh>
    <rPh sb="35" eb="36">
      <t>ガク</t>
    </rPh>
    <rPh sb="37" eb="39">
      <t>ヒョウジ</t>
    </rPh>
    <phoneticPr fontId="1"/>
  </si>
  <si>
    <t>寄付金額</t>
    <rPh sb="0" eb="3">
      <t>キフキン</t>
    </rPh>
    <rPh sb="3" eb="4">
      <t>ガク</t>
    </rPh>
    <phoneticPr fontId="1"/>
  </si>
  <si>
    <t>寄付金控除額</t>
    <rPh sb="0" eb="3">
      <t>キフキン</t>
    </rPh>
    <rPh sb="3" eb="5">
      <t>コウジョ</t>
    </rPh>
    <rPh sb="5" eb="6">
      <t>ガク</t>
    </rPh>
    <phoneticPr fontId="1"/>
  </si>
  <si>
    <t>寄付金特例控除額</t>
    <rPh sb="0" eb="3">
      <t>キフキン</t>
    </rPh>
    <rPh sb="3" eb="5">
      <t>トクレイ</t>
    </rPh>
    <rPh sb="5" eb="7">
      <t>コウジョ</t>
    </rPh>
    <rPh sb="7" eb="8">
      <t>ガク</t>
    </rPh>
    <phoneticPr fontId="1"/>
  </si>
  <si>
    <t>寄付金額から控除額を知りたい人へ</t>
    <rPh sb="0" eb="2">
      <t>キフ</t>
    </rPh>
    <rPh sb="2" eb="4">
      <t>キンガク</t>
    </rPh>
    <rPh sb="6" eb="8">
      <t>コウジョ</t>
    </rPh>
    <rPh sb="8" eb="9">
      <t>ガク</t>
    </rPh>
    <rPh sb="10" eb="11">
      <t>シ</t>
    </rPh>
    <rPh sb="14" eb="15">
      <t>ヒト</t>
    </rPh>
    <phoneticPr fontId="1"/>
  </si>
  <si>
    <t>配偶者その他の所得</t>
    <rPh sb="0" eb="3">
      <t>ハイグウシャ</t>
    </rPh>
    <rPh sb="5" eb="6">
      <t>タ</t>
    </rPh>
    <rPh sb="7" eb="9">
      <t>ショトク</t>
    </rPh>
    <phoneticPr fontId="1"/>
  </si>
  <si>
    <t>公的年金収入</t>
    <rPh sb="0" eb="2">
      <t>コウテキ</t>
    </rPh>
    <rPh sb="2" eb="4">
      <t>ネンキン</t>
    </rPh>
    <rPh sb="4" eb="6">
      <t>シュウニュウ</t>
    </rPh>
    <phoneticPr fontId="1"/>
  </si>
  <si>
    <t>公的年金所得</t>
    <rPh sb="0" eb="2">
      <t>コウテキ</t>
    </rPh>
    <rPh sb="2" eb="4">
      <t>ネンキン</t>
    </rPh>
    <rPh sb="4" eb="6">
      <t>ショトク</t>
    </rPh>
    <phoneticPr fontId="1"/>
  </si>
  <si>
    <t>住民税分基本控除額</t>
    <rPh sb="0" eb="3">
      <t>ジュウミンゼイ</t>
    </rPh>
    <rPh sb="3" eb="4">
      <t>ブン</t>
    </rPh>
    <rPh sb="4" eb="6">
      <t>キホン</t>
    </rPh>
    <rPh sb="6" eb="8">
      <t>コウジョ</t>
    </rPh>
    <rPh sb="8" eb="9">
      <t>ガク</t>
    </rPh>
    <phoneticPr fontId="1"/>
  </si>
  <si>
    <t>該当しない</t>
  </si>
  <si>
    <t>65歳以上</t>
    <rPh sb="2" eb="3">
      <t>サイ</t>
    </rPh>
    <rPh sb="3" eb="5">
      <t>イジョウ</t>
    </rPh>
    <phoneticPr fontId="1"/>
  </si>
  <si>
    <t>※年齢は令和8年1月1日を基準に計算してください。</t>
    <rPh sb="1" eb="3">
      <t>ネンレイ</t>
    </rPh>
    <rPh sb="4" eb="6">
      <t>レイワ</t>
    </rPh>
    <rPh sb="7" eb="8">
      <t>ネン</t>
    </rPh>
    <rPh sb="9" eb="10">
      <t>ガツ</t>
    </rPh>
    <rPh sb="11" eb="12">
      <t>ニチ</t>
    </rPh>
    <rPh sb="13" eb="15">
      <t>キジュン</t>
    </rPh>
    <rPh sb="16" eb="18">
      <t>ケイサン</t>
    </rPh>
    <phoneticPr fontId="1"/>
  </si>
  <si>
    <t>所得金額調整控除</t>
    <rPh sb="0" eb="2">
      <t>ショトク</t>
    </rPh>
    <rPh sb="2" eb="4">
      <t>キンガク</t>
    </rPh>
    <rPh sb="4" eb="6">
      <t>チョウセイ</t>
    </rPh>
    <rPh sb="6" eb="8">
      <t>コウジョ</t>
    </rPh>
    <phoneticPr fontId="1"/>
  </si>
  <si>
    <t>所得税の控除額合計</t>
    <rPh sb="0" eb="3">
      <t>ショトクゼイ</t>
    </rPh>
    <rPh sb="4" eb="6">
      <t>コウジョ</t>
    </rPh>
    <rPh sb="6" eb="7">
      <t>ガク</t>
    </rPh>
    <rPh sb="7" eb="9">
      <t>ゴウケイ</t>
    </rPh>
    <phoneticPr fontId="1"/>
  </si>
  <si>
    <t>調整控除</t>
    <rPh sb="0" eb="2">
      <t>チョウセイ</t>
    </rPh>
    <rPh sb="2" eb="4">
      <t>コウジョ</t>
    </rPh>
    <phoneticPr fontId="1"/>
  </si>
  <si>
    <t>旧長期損害保険料</t>
    <rPh sb="0" eb="1">
      <t>キュウ</t>
    </rPh>
    <rPh sb="1" eb="3">
      <t>チョウキ</t>
    </rPh>
    <rPh sb="3" eb="5">
      <t>ソンガイ</t>
    </rPh>
    <rPh sb="5" eb="7">
      <t>ホケン</t>
    </rPh>
    <rPh sb="7" eb="8">
      <t>リョウ</t>
    </rPh>
    <phoneticPr fontId="1"/>
  </si>
  <si>
    <t>基礎控除</t>
    <rPh sb="0" eb="2">
      <t>キソ</t>
    </rPh>
    <rPh sb="2" eb="4">
      <t>コウジョ</t>
    </rPh>
    <phoneticPr fontId="1"/>
  </si>
  <si>
    <t>損害保険料控除</t>
    <rPh sb="0" eb="2">
      <t>ソンガイ</t>
    </rPh>
    <rPh sb="2" eb="4">
      <t>ホケン</t>
    </rPh>
    <rPh sb="4" eb="5">
      <t>リョウ</t>
    </rPh>
    <rPh sb="5" eb="7">
      <t>コウジョ</t>
    </rPh>
    <phoneticPr fontId="1"/>
  </si>
  <si>
    <t>長期</t>
    <rPh sb="0" eb="2">
      <t>チョウキ</t>
    </rPh>
    <phoneticPr fontId="1"/>
  </si>
  <si>
    <t xml:space="preserve"> 住借、配当控除後所得割</t>
    <rPh sb="1" eb="2">
      <t>ジュウ</t>
    </rPh>
    <rPh sb="2" eb="3">
      <t>カ</t>
    </rPh>
    <rPh sb="4" eb="6">
      <t>ハイトウ</t>
    </rPh>
    <rPh sb="6" eb="8">
      <t>コウジョ</t>
    </rPh>
    <rPh sb="8" eb="9">
      <t>ゴ</t>
    </rPh>
    <rPh sb="9" eb="11">
      <t>ショトク</t>
    </rPh>
    <rPh sb="11" eb="12">
      <t>ワリ</t>
    </rPh>
    <phoneticPr fontId="1"/>
  </si>
  <si>
    <t>-</t>
  </si>
  <si>
    <t>　寄付金額</t>
    <rPh sb="1" eb="4">
      <t>キフキン</t>
    </rPh>
    <rPh sb="4" eb="5">
      <t>ガク</t>
    </rPh>
    <phoneticPr fontId="1"/>
  </si>
  <si>
    <t>地震</t>
    <rPh sb="0" eb="2">
      <t>ジシン</t>
    </rPh>
    <phoneticPr fontId="1"/>
  </si>
  <si>
    <t>寄附金控除後</t>
    <rPh sb="0" eb="3">
      <t>キフキン</t>
    </rPh>
    <rPh sb="3" eb="5">
      <t>コウジョ</t>
    </rPh>
    <rPh sb="5" eb="6">
      <t>アト</t>
    </rPh>
    <phoneticPr fontId="1"/>
  </si>
  <si>
    <t>＊0.5＋5,000</t>
  </si>
  <si>
    <t>*0.5</t>
  </si>
  <si>
    <t>*10.21/79.79</t>
  </si>
  <si>
    <t>旧長期</t>
    <rPh sb="0" eb="1">
      <t>キュウ</t>
    </rPh>
    <rPh sb="1" eb="3">
      <t>チョウキ</t>
    </rPh>
    <phoneticPr fontId="1"/>
  </si>
  <si>
    <t>地震保険</t>
    <rPh sb="0" eb="2">
      <t>ジシン</t>
    </rPh>
    <rPh sb="2" eb="4">
      <t>ホケン</t>
    </rPh>
    <phoneticPr fontId="1"/>
  </si>
  <si>
    <t>生命保険料控除（住民税）</t>
    <rPh sb="0" eb="2">
      <t>セイメイ</t>
    </rPh>
    <rPh sb="2" eb="5">
      <t>ホケンリョウ</t>
    </rPh>
    <rPh sb="5" eb="7">
      <t>コウジョ</t>
    </rPh>
    <rPh sb="8" eb="11">
      <t>ジュウミンゼイ</t>
    </rPh>
    <phoneticPr fontId="1"/>
  </si>
  <si>
    <t>特定親族特別</t>
    <rPh sb="0" eb="2">
      <t>トクテイ</t>
    </rPh>
    <rPh sb="2" eb="4">
      <t>シンゾク</t>
    </rPh>
    <rPh sb="4" eb="6">
      <t>トクベツ</t>
    </rPh>
    <phoneticPr fontId="1"/>
  </si>
  <si>
    <t>損害保険料控除（所得税）</t>
    <rPh sb="0" eb="2">
      <t>ソンガイ</t>
    </rPh>
    <rPh sb="2" eb="4">
      <t>ホケン</t>
    </rPh>
    <rPh sb="4" eb="5">
      <t>リョウ</t>
    </rPh>
    <rPh sb="5" eb="7">
      <t>コウジョ</t>
    </rPh>
    <rPh sb="8" eb="11">
      <t>ショトクゼイ</t>
    </rPh>
    <phoneticPr fontId="1"/>
  </si>
  <si>
    <t>生命保険料控除（所得税）</t>
    <rPh sb="0" eb="2">
      <t>セイメイ</t>
    </rPh>
    <rPh sb="2" eb="4">
      <t>ホケン</t>
    </rPh>
    <rPh sb="4" eb="5">
      <t>リョウ</t>
    </rPh>
    <rPh sb="5" eb="7">
      <t>コウジョ</t>
    </rPh>
    <rPh sb="8" eb="11">
      <t>ショトクゼイ</t>
    </rPh>
    <phoneticPr fontId="1"/>
  </si>
  <si>
    <t>＊0.5＋12,500</t>
  </si>
  <si>
    <t>＊0.25＋25,000</t>
  </si>
  <si>
    <t>＊0.5＋10,000</t>
  </si>
  <si>
    <t>＊0.25＋20,000</t>
  </si>
  <si>
    <t>生保控除（所得税）合計</t>
    <rPh sb="0" eb="1">
      <t>ナマ</t>
    </rPh>
    <rPh sb="2" eb="4">
      <t>コウジョ</t>
    </rPh>
    <rPh sb="5" eb="8">
      <t>ショトクゼイ</t>
    </rPh>
    <rPh sb="9" eb="11">
      <t>ゴウケイ</t>
    </rPh>
    <phoneticPr fontId="1"/>
  </si>
  <si>
    <t>*0.5+2500</t>
  </si>
  <si>
    <t>収入・所得</t>
    <rPh sb="0" eb="2">
      <t>シュウニュウ</t>
    </rPh>
    <rPh sb="3" eb="5">
      <t>ショトク</t>
    </rPh>
    <phoneticPr fontId="1"/>
  </si>
  <si>
    <t>収入</t>
    <rPh sb="0" eb="2">
      <t>シュウニュウ</t>
    </rPh>
    <phoneticPr fontId="1"/>
  </si>
  <si>
    <t>所得</t>
    <rPh sb="0" eb="2">
      <t>ショトク</t>
    </rPh>
    <phoneticPr fontId="1"/>
  </si>
  <si>
    <t>控除される金額</t>
    <rPh sb="0" eb="2">
      <t>コウジョ</t>
    </rPh>
    <rPh sb="5" eb="7">
      <t>キンガク</t>
    </rPh>
    <phoneticPr fontId="1"/>
  </si>
  <si>
    <t>公的年金</t>
    <rPh sb="0" eb="2">
      <t>コウテキ</t>
    </rPh>
    <rPh sb="2" eb="4">
      <t>ネンキン</t>
    </rPh>
    <phoneticPr fontId="1"/>
  </si>
  <si>
    <t>その他</t>
    <rPh sb="2" eb="3">
      <t>タ</t>
    </rPh>
    <phoneticPr fontId="1"/>
  </si>
  <si>
    <t>《寡婦・ひとり親控除》</t>
    <rPh sb="1" eb="3">
      <t>カフ</t>
    </rPh>
    <rPh sb="7" eb="8">
      <t>オヤ</t>
    </rPh>
    <rPh sb="8" eb="10">
      <t>コウジョ</t>
    </rPh>
    <phoneticPr fontId="1"/>
  </si>
  <si>
    <t>配当控除の対象となる配当所得</t>
    <rPh sb="0" eb="2">
      <t>ハイトウ</t>
    </rPh>
    <rPh sb="2" eb="4">
      <t>コウジョ</t>
    </rPh>
    <rPh sb="5" eb="7">
      <t>タイショウ</t>
    </rPh>
    <rPh sb="10" eb="12">
      <t>ハイトウ</t>
    </rPh>
    <rPh sb="12" eb="14">
      <t>ショトク</t>
    </rPh>
    <phoneticPr fontId="1"/>
  </si>
  <si>
    <t>　寡婦、ひとり親に該当しますか？</t>
    <rPh sb="1" eb="3">
      <t>カフ</t>
    </rPh>
    <rPh sb="7" eb="8">
      <t>オヤ</t>
    </rPh>
    <rPh sb="9" eb="11">
      <t>ガイトウ</t>
    </rPh>
    <phoneticPr fontId="1"/>
  </si>
  <si>
    <t>《障がい者控除》</t>
    <rPh sb="1" eb="2">
      <t>ショウ</t>
    </rPh>
    <rPh sb="4" eb="5">
      <t>シャ</t>
    </rPh>
    <rPh sb="5" eb="7">
      <t>コウジョ</t>
    </rPh>
    <phoneticPr fontId="1"/>
  </si>
  <si>
    <t>　一般の障がい</t>
    <rPh sb="1" eb="3">
      <t>イッパン</t>
    </rPh>
    <rPh sb="4" eb="5">
      <t>ショウ</t>
    </rPh>
    <phoneticPr fontId="1"/>
  </si>
  <si>
    <t>　同居の特別障がい</t>
    <rPh sb="1" eb="3">
      <t>ドウキョ</t>
    </rPh>
    <rPh sb="4" eb="6">
      <t>トクベツ</t>
    </rPh>
    <rPh sb="6" eb="7">
      <t>ショウ</t>
    </rPh>
    <phoneticPr fontId="1"/>
  </si>
  <si>
    <t>　旧長期損害保険料</t>
    <rPh sb="1" eb="2">
      <t>キュウ</t>
    </rPh>
    <rPh sb="2" eb="4">
      <t>チョウキ</t>
    </rPh>
    <rPh sb="4" eb="6">
      <t>ソンガイ</t>
    </rPh>
    <rPh sb="6" eb="8">
      <t>ホケン</t>
    </rPh>
    <rPh sb="8" eb="9">
      <t>リョウ</t>
    </rPh>
    <phoneticPr fontId="1"/>
  </si>
  <si>
    <t>16歳未満の扶養親族の人数</t>
    <rPh sb="2" eb="3">
      <t>サイ</t>
    </rPh>
    <rPh sb="3" eb="5">
      <t>ミマン</t>
    </rPh>
    <rPh sb="6" eb="8">
      <t>フヨウ</t>
    </rPh>
    <rPh sb="8" eb="10">
      <t>シンゾク</t>
    </rPh>
    <rPh sb="11" eb="13">
      <t>ニンズウ</t>
    </rPh>
    <phoneticPr fontId="1"/>
  </si>
  <si>
    <t>《勤労学生控除》</t>
    <rPh sb="1" eb="7">
      <t>キンロウガクセイコウジョ</t>
    </rPh>
    <phoneticPr fontId="1"/>
  </si>
  <si>
    <t>※1,000円未満切り捨て</t>
    <rPh sb="6" eb="7">
      <t>エン</t>
    </rPh>
    <rPh sb="7" eb="9">
      <t>ミマン</t>
    </rPh>
    <rPh sb="9" eb="10">
      <t>キ</t>
    </rPh>
    <rPh sb="11" eb="12">
      <t>ス</t>
    </rPh>
    <phoneticPr fontId="1"/>
  </si>
  <si>
    <t>　勤労学生に該当しますか？</t>
    <rPh sb="1" eb="3">
      <t>キンロウ</t>
    </rPh>
    <rPh sb="3" eb="5">
      <t>ガクセイ</t>
    </rPh>
    <rPh sb="6" eb="8">
      <t>ガイトウ</t>
    </rPh>
    <phoneticPr fontId="1"/>
  </si>
  <si>
    <t>その他の所得控除</t>
    <rPh sb="2" eb="3">
      <t>タ</t>
    </rPh>
    <rPh sb="4" eb="6">
      <t>ショトク</t>
    </rPh>
    <rPh sb="6" eb="8">
      <t>コウジョ</t>
    </rPh>
    <phoneticPr fontId="1"/>
  </si>
  <si>
    <t>　同居老人扶養親族の数</t>
    <rPh sb="1" eb="3">
      <t>ドウキョ</t>
    </rPh>
    <rPh sb="3" eb="5">
      <t>ロウジン</t>
    </rPh>
    <rPh sb="5" eb="7">
      <t>フヨウ</t>
    </rPh>
    <rPh sb="7" eb="9">
      <t>シンゾク</t>
    </rPh>
    <rPh sb="10" eb="11">
      <t>カズ</t>
    </rPh>
    <phoneticPr fontId="1"/>
  </si>
  <si>
    <t>　社会保険料の支払金額</t>
    <rPh sb="1" eb="3">
      <t>シャカイ</t>
    </rPh>
    <rPh sb="3" eb="6">
      <t>ホケンリョウ</t>
    </rPh>
    <rPh sb="7" eb="9">
      <t>シハライ</t>
    </rPh>
    <rPh sb="9" eb="11">
      <t>キンガク</t>
    </rPh>
    <phoneticPr fontId="1"/>
  </si>
  <si>
    <t>　小規模共済等掛金の金額</t>
    <rPh sb="1" eb="4">
      <t>ショウキボ</t>
    </rPh>
    <rPh sb="4" eb="6">
      <t>キョウサイ</t>
    </rPh>
    <rPh sb="6" eb="7">
      <t>トウ</t>
    </rPh>
    <rPh sb="7" eb="9">
      <t>カケキン</t>
    </rPh>
    <rPh sb="10" eb="12">
      <t>キンガク</t>
    </rPh>
    <phoneticPr fontId="1"/>
  </si>
  <si>
    <t>　新生命保険料</t>
    <rPh sb="1" eb="2">
      <t>シン</t>
    </rPh>
    <rPh sb="2" eb="4">
      <t>セイメイ</t>
    </rPh>
    <rPh sb="4" eb="7">
      <t>ホケンリョウ</t>
    </rPh>
    <phoneticPr fontId="1"/>
  </si>
  <si>
    <t>　旧生命保険料</t>
    <rPh sb="1" eb="2">
      <t>キュウ</t>
    </rPh>
    <rPh sb="2" eb="4">
      <t>セイメイ</t>
    </rPh>
    <rPh sb="4" eb="7">
      <t>ホケンリョウ</t>
    </rPh>
    <phoneticPr fontId="1"/>
  </si>
  <si>
    <t>　新個人年金保険料</t>
    <rPh sb="1" eb="2">
      <t>シン</t>
    </rPh>
    <rPh sb="2" eb="4">
      <t>コジン</t>
    </rPh>
    <rPh sb="4" eb="6">
      <t>ネンキン</t>
    </rPh>
    <rPh sb="6" eb="9">
      <t>ホケンリョウ</t>
    </rPh>
    <phoneticPr fontId="1"/>
  </si>
  <si>
    <t>　旧個人年金保険料</t>
    <rPh sb="1" eb="2">
      <t>キュウ</t>
    </rPh>
    <rPh sb="2" eb="4">
      <t>コジン</t>
    </rPh>
    <rPh sb="4" eb="6">
      <t>ネンキン</t>
    </rPh>
    <rPh sb="6" eb="9">
      <t>ホケンリョウ</t>
    </rPh>
    <phoneticPr fontId="1"/>
  </si>
  <si>
    <t>※給与収入が123万円以下の場合、控除額に影響はありません。</t>
    <rPh sb="1" eb="5">
      <t>キュウヨシュウニュウ</t>
    </rPh>
    <rPh sb="9" eb="11">
      <t>マンエン</t>
    </rPh>
    <rPh sb="11" eb="13">
      <t>イカ</t>
    </rPh>
    <rPh sb="14" eb="16">
      <t>バアイ</t>
    </rPh>
    <rPh sb="17" eb="19">
      <t>コウジョ</t>
    </rPh>
    <rPh sb="19" eb="20">
      <t>ガク</t>
    </rPh>
    <rPh sb="21" eb="23">
      <t>エイキョウ</t>
    </rPh>
    <phoneticPr fontId="1"/>
  </si>
  <si>
    <t>　地震保険料</t>
    <rPh sb="1" eb="3">
      <t>ジシン</t>
    </rPh>
    <rPh sb="3" eb="6">
      <t>ホケンリョウ</t>
    </rPh>
    <phoneticPr fontId="1"/>
  </si>
  <si>
    <t>　医療費控除</t>
    <rPh sb="1" eb="4">
      <t>イリョウヒ</t>
    </rPh>
    <rPh sb="4" eb="6">
      <t>コウジョ</t>
    </rPh>
    <phoneticPr fontId="1"/>
  </si>
  <si>
    <t>　住民税分基本控除額</t>
    <rPh sb="1" eb="4">
      <t>ジュウミンゼイ</t>
    </rPh>
    <rPh sb="4" eb="5">
      <t>ブン</t>
    </rPh>
    <rPh sb="5" eb="7">
      <t>キホン</t>
    </rPh>
    <rPh sb="7" eb="9">
      <t>コウジョ</t>
    </rPh>
    <rPh sb="9" eb="10">
      <t>ガク</t>
    </rPh>
    <phoneticPr fontId="1"/>
  </si>
  <si>
    <t>年齢</t>
    <rPh sb="0" eb="2">
      <t>ネンレイ</t>
    </rPh>
    <phoneticPr fontId="1"/>
  </si>
  <si>
    <t>（人数を入力してください）</t>
    <rPh sb="1" eb="3">
      <t>ニンズウ</t>
    </rPh>
    <rPh sb="4" eb="6">
      <t>ニュウリョク</t>
    </rPh>
    <phoneticPr fontId="1"/>
  </si>
  <si>
    <t>←このマスにご自身で入力をお願いいたします。</t>
    <rPh sb="7" eb="9">
      <t>ジシン</t>
    </rPh>
    <rPh sb="10" eb="12">
      <t>ニュウリョク</t>
    </rPh>
    <rPh sb="14" eb="15">
      <t>ネガ</t>
    </rPh>
    <phoneticPr fontId="1"/>
  </si>
  <si>
    <t xml:space="preserve"> （住）課税標準額</t>
    <rPh sb="2" eb="3">
      <t>ジュウ</t>
    </rPh>
    <rPh sb="4" eb="6">
      <t>カゼイ</t>
    </rPh>
    <rPh sb="6" eb="8">
      <t>ヒョウジュン</t>
    </rPh>
    <rPh sb="8" eb="9">
      <t>ガク</t>
    </rPh>
    <phoneticPr fontId="1"/>
  </si>
  <si>
    <t>寄附金から計算する用</t>
    <rPh sb="0" eb="3">
      <t>キフキン</t>
    </rPh>
    <rPh sb="5" eb="7">
      <t>ケイサン</t>
    </rPh>
    <rPh sb="9" eb="10">
      <t>ヨウ</t>
    </rPh>
    <phoneticPr fontId="1"/>
  </si>
  <si>
    <t xml:space="preserve"> （所）寄付金控除額</t>
    <rPh sb="2" eb="3">
      <t>ショ</t>
    </rPh>
    <rPh sb="4" eb="7">
      <t>キフキン</t>
    </rPh>
    <rPh sb="7" eb="9">
      <t>コウジョ</t>
    </rPh>
    <rPh sb="9" eb="10">
      <t>ガク</t>
    </rPh>
    <phoneticPr fontId="1"/>
  </si>
  <si>
    <t xml:space="preserve"> （住）所得割額</t>
    <rPh sb="2" eb="3">
      <t>ジュウ</t>
    </rPh>
    <rPh sb="4" eb="6">
      <t>ショトク</t>
    </rPh>
    <rPh sb="6" eb="7">
      <t>ワリ</t>
    </rPh>
    <rPh sb="7" eb="8">
      <t>ガク</t>
    </rPh>
    <phoneticPr fontId="1"/>
  </si>
  <si>
    <t xml:space="preserve"> （住）課税所得額－（5万円＋人的控除の差）</t>
    <rPh sb="2" eb="3">
      <t>ジュウ</t>
    </rPh>
    <rPh sb="4" eb="6">
      <t>カゼイ</t>
    </rPh>
    <rPh sb="6" eb="8">
      <t>ショトク</t>
    </rPh>
    <rPh sb="8" eb="9">
      <t>ガク</t>
    </rPh>
    <rPh sb="12" eb="14">
      <t>マンエン</t>
    </rPh>
    <rPh sb="15" eb="17">
      <t>ジンテキ</t>
    </rPh>
    <rPh sb="17" eb="19">
      <t>コウジョ</t>
    </rPh>
    <rPh sb="20" eb="21">
      <t>サ</t>
    </rPh>
    <phoneticPr fontId="1"/>
  </si>
  <si>
    <t>特定親族特別控除の金額</t>
    <rPh sb="0" eb="2">
      <t>トクテイ</t>
    </rPh>
    <rPh sb="2" eb="4">
      <t>シンゾク</t>
    </rPh>
    <rPh sb="4" eb="6">
      <t>トクベツ</t>
    </rPh>
    <rPh sb="6" eb="8">
      <t>コウジョ</t>
    </rPh>
    <rPh sb="9" eb="11">
      <t>キンガク</t>
    </rPh>
    <phoneticPr fontId="1"/>
  </si>
  <si>
    <t>　介護医療保険料</t>
    <rPh sb="1" eb="3">
      <t>カイゴ</t>
    </rPh>
    <rPh sb="3" eb="5">
      <t>イリョウ</t>
    </rPh>
    <rPh sb="5" eb="8">
      <t>ホケンリョウ</t>
    </rPh>
    <phoneticPr fontId="1"/>
  </si>
  <si>
    <t>　住宅借入金等特別税額控除</t>
    <rPh sb="1" eb="3">
      <t>ジュウタク</t>
    </rPh>
    <rPh sb="3" eb="5">
      <t>カリイレ</t>
    </rPh>
    <rPh sb="5" eb="6">
      <t>キン</t>
    </rPh>
    <rPh sb="6" eb="7">
      <t>トウ</t>
    </rPh>
    <rPh sb="7" eb="9">
      <t>トクベツ</t>
    </rPh>
    <rPh sb="9" eb="10">
      <t>ゼイ</t>
    </rPh>
    <rPh sb="10" eb="11">
      <t>ガク</t>
    </rPh>
    <rPh sb="11" eb="13">
      <t>コウジョ</t>
    </rPh>
    <phoneticPr fontId="1"/>
  </si>
  <si>
    <t>計算式</t>
    <rPh sb="0" eb="2">
      <t>ケイサン</t>
    </rPh>
    <rPh sb="2" eb="3">
      <t>シキ</t>
    </rPh>
    <phoneticPr fontId="1"/>
  </si>
  <si>
    <t>※源泉徴収票からご入力の方は、地震保険料の控除額のみをこちらに入力してください。</t>
    <rPh sb="1" eb="6">
      <t>ゲンセンチョウシュウヒョウ</t>
    </rPh>
    <rPh sb="9" eb="11">
      <t>ニュウリョク</t>
    </rPh>
    <rPh sb="12" eb="13">
      <t>カタ</t>
    </rPh>
    <rPh sb="15" eb="17">
      <t>ジシン</t>
    </rPh>
    <rPh sb="17" eb="20">
      <t>ホケンリョウ</t>
    </rPh>
    <rPh sb="21" eb="23">
      <t>コウジョ</t>
    </rPh>
    <rPh sb="23" eb="24">
      <t>ガク</t>
    </rPh>
    <rPh sb="31" eb="33">
      <t>ニュウリョク</t>
    </rPh>
    <phoneticPr fontId="1"/>
  </si>
  <si>
    <t>　※控除額ではなく、実際に支払った金額を入力してください。</t>
    <rPh sb="2" eb="4">
      <t>コウジョ</t>
    </rPh>
    <rPh sb="4" eb="5">
      <t>ガク</t>
    </rPh>
    <rPh sb="10" eb="12">
      <t>ジッサイ</t>
    </rPh>
    <rPh sb="13" eb="15">
      <t>シハラ</t>
    </rPh>
    <rPh sb="17" eb="19">
      <t>キンガク</t>
    </rPh>
    <rPh sb="20" eb="22">
      <t>ニュウリョク</t>
    </rPh>
    <phoneticPr fontId="1"/>
  </si>
  <si>
    <t>配偶者（扶養対象）</t>
    <rPh sb="0" eb="3">
      <t>ハイグウシャ</t>
    </rPh>
    <rPh sb="4" eb="6">
      <t>フヨウ</t>
    </rPh>
    <rPh sb="6" eb="8">
      <t>タイショウ</t>
    </rPh>
    <phoneticPr fontId="1"/>
  </si>
  <si>
    <t>*5.105/84.895</t>
  </si>
  <si>
    <t>*20.42/69.58</t>
  </si>
  <si>
    <t>寄附金控除前後の所得税額及び住民税額（概算）</t>
    <rPh sb="0" eb="3">
      <t>キフキン</t>
    </rPh>
    <rPh sb="3" eb="5">
      <t>コウジョ</t>
    </rPh>
    <rPh sb="5" eb="7">
      <t>ゼンゴ</t>
    </rPh>
    <rPh sb="8" eb="11">
      <t>ショトクゼイ</t>
    </rPh>
    <rPh sb="11" eb="12">
      <t>ガク</t>
    </rPh>
    <rPh sb="12" eb="13">
      <t>オヨ</t>
    </rPh>
    <rPh sb="14" eb="17">
      <t>ジュウミンゼイ</t>
    </rPh>
    <rPh sb="17" eb="18">
      <t>ガク</t>
    </rPh>
    <rPh sb="19" eb="21">
      <t>ガイサン</t>
    </rPh>
    <phoneticPr fontId="1"/>
  </si>
  <si>
    <t>*23.483/66.517</t>
  </si>
  <si>
    <t>*33.693/56.307</t>
  </si>
  <si>
    <t>申告特例控除額（ワンストップ）</t>
    <rPh sb="0" eb="2">
      <t>シンコク</t>
    </rPh>
    <rPh sb="2" eb="4">
      <t>トクレイ</t>
    </rPh>
    <rPh sb="4" eb="6">
      <t>コウジョ</t>
    </rPh>
    <rPh sb="6" eb="7">
      <t>ガク</t>
    </rPh>
    <phoneticPr fontId="1"/>
  </si>
  <si>
    <t>申告特例控除額</t>
    <rPh sb="0" eb="2">
      <t>シンコク</t>
    </rPh>
    <rPh sb="2" eb="4">
      <t>トクレイ</t>
    </rPh>
    <rPh sb="4" eb="6">
      <t>コウジョ</t>
    </rPh>
    <rPh sb="6" eb="7">
      <t>ガク</t>
    </rPh>
    <phoneticPr fontId="1"/>
  </si>
  <si>
    <t>場合の寄附金控除額を表示する</t>
    <rPh sb="0" eb="2">
      <t>バアイ</t>
    </rPh>
    <rPh sb="3" eb="6">
      <t>キフキン</t>
    </rPh>
    <rPh sb="6" eb="8">
      <t>コウジョ</t>
    </rPh>
    <rPh sb="8" eb="9">
      <t>ガク</t>
    </rPh>
    <rPh sb="10" eb="12">
      <t>ヒョウジ</t>
    </rPh>
    <phoneticPr fontId="1"/>
  </si>
  <si>
    <t>③</t>
  </si>
  <si>
    <t>⑦</t>
  </si>
  <si>
    <t>④</t>
  </si>
  <si>
    <t>⑧</t>
  </si>
  <si>
    <t>令和4年1月以降(契約は3年中)</t>
  </si>
  <si>
    <t>寄附金の目安額を知りたい方へ</t>
    <rPh sb="0" eb="3">
      <t>キフキン</t>
    </rPh>
    <rPh sb="4" eb="6">
      <t>メヤス</t>
    </rPh>
    <rPh sb="6" eb="7">
      <t>ガク</t>
    </rPh>
    <rPh sb="8" eb="9">
      <t>シ</t>
    </rPh>
    <rPh sb="12" eb="13">
      <t>カタ</t>
    </rPh>
    <phoneticPr fontId="1"/>
  </si>
  <si>
    <t>復興特別所得税</t>
    <rPh sb="0" eb="2">
      <t>フッコウ</t>
    </rPh>
    <rPh sb="2" eb="4">
      <t>トクベツ</t>
    </rPh>
    <rPh sb="4" eb="7">
      <t>ショトクゼイ</t>
    </rPh>
    <phoneticPr fontId="1"/>
  </si>
  <si>
    <t>※源泉徴収票の下段の金額-上段の金額</t>
    <rPh sb="1" eb="3">
      <t>ゲンセン</t>
    </rPh>
    <rPh sb="3" eb="6">
      <t>チョウシュウヒョウ</t>
    </rPh>
    <rPh sb="7" eb="9">
      <t>カダン</t>
    </rPh>
    <rPh sb="10" eb="12">
      <t>キンガク</t>
    </rPh>
    <rPh sb="13" eb="15">
      <t>ジョウダン</t>
    </rPh>
    <rPh sb="16" eb="18">
      <t>キンガク</t>
    </rPh>
    <phoneticPr fontId="1"/>
  </si>
  <si>
    <t xml:space="preserve"> （所）控除額合計</t>
    <rPh sb="2" eb="3">
      <t>ショ</t>
    </rPh>
    <rPh sb="4" eb="6">
      <t>コウジョ</t>
    </rPh>
    <rPh sb="6" eb="7">
      <t>ガク</t>
    </rPh>
    <rPh sb="7" eb="9">
      <t>ゴウケイ</t>
    </rPh>
    <phoneticPr fontId="1"/>
  </si>
  <si>
    <t>※肉用牛の売却所得がある方は、</t>
    <rPh sb="1" eb="4">
      <t>ニクヨウギュウ</t>
    </rPh>
    <rPh sb="5" eb="7">
      <t>バイキャク</t>
    </rPh>
    <rPh sb="7" eb="9">
      <t>ショトク</t>
    </rPh>
    <rPh sb="12" eb="13">
      <t>カタ</t>
    </rPh>
    <phoneticPr fontId="1"/>
  </si>
  <si>
    <t>税額算出用</t>
    <rPh sb="0" eb="2">
      <t>ゼイガク</t>
    </rPh>
    <rPh sb="2" eb="4">
      <t>サンシュツ</t>
    </rPh>
    <rPh sb="4" eb="5">
      <t>ヨウ</t>
    </rPh>
    <phoneticPr fontId="1"/>
  </si>
  <si>
    <t xml:space="preserve"> 調整控除</t>
    <rPh sb="1" eb="3">
      <t>チョウセイ</t>
    </rPh>
    <rPh sb="3" eb="5">
      <t>コウジョ</t>
    </rPh>
    <phoneticPr fontId="1"/>
  </si>
  <si>
    <t>所得税分住借控除額</t>
    <rPh sb="0" eb="3">
      <t>ショトクゼイ</t>
    </rPh>
    <rPh sb="3" eb="4">
      <t>ブン</t>
    </rPh>
    <rPh sb="4" eb="5">
      <t>ジュウ</t>
    </rPh>
    <rPh sb="5" eb="6">
      <t>カ</t>
    </rPh>
    <rPh sb="6" eb="8">
      <t>コウジョ</t>
    </rPh>
    <rPh sb="8" eb="9">
      <t>ガク</t>
    </rPh>
    <phoneticPr fontId="1"/>
  </si>
  <si>
    <t xml:space="preserve"> （住）寄付金控除額</t>
    <rPh sb="2" eb="3">
      <t>ジュウ</t>
    </rPh>
    <rPh sb="4" eb="7">
      <t>キフキン</t>
    </rPh>
    <rPh sb="7" eb="9">
      <t>コウジョ</t>
    </rPh>
    <rPh sb="9" eb="10">
      <t>ガク</t>
    </rPh>
    <phoneticPr fontId="1"/>
  </si>
  <si>
    <t>所得割額</t>
  </si>
  <si>
    <t>住民税分住借控除</t>
  </si>
  <si>
    <t>均等割</t>
  </si>
  <si>
    <t>所得控除合計</t>
    <rPh sb="0" eb="2">
      <t>ショトク</t>
    </rPh>
    <rPh sb="2" eb="4">
      <t>コウジョ</t>
    </rPh>
    <rPh sb="4" eb="6">
      <t>ゴウケイ</t>
    </rPh>
    <phoneticPr fontId="1"/>
  </si>
  <si>
    <t>　確定申告書からご入力の方は「所得から差し引かれる金額」の㉙と一致します。</t>
    <rPh sb="1" eb="3">
      <t>カクテイ</t>
    </rPh>
    <rPh sb="3" eb="5">
      <t>シンコク</t>
    </rPh>
    <rPh sb="5" eb="6">
      <t>ショ</t>
    </rPh>
    <rPh sb="9" eb="11">
      <t>ニュウリョク</t>
    </rPh>
    <rPh sb="12" eb="13">
      <t>カタ</t>
    </rPh>
    <rPh sb="15" eb="17">
      <t>ショトク</t>
    </rPh>
    <rPh sb="19" eb="20">
      <t>サ</t>
    </rPh>
    <rPh sb="21" eb="22">
      <t>ヒ</t>
    </rPh>
    <rPh sb="25" eb="27">
      <t>キンガク</t>
    </rPh>
    <rPh sb="31" eb="33">
      <t>イッチ</t>
    </rPh>
    <phoneticPr fontId="1"/>
  </si>
  <si>
    <t>※源泉徴収票からご入力の方は「所得控除の額の合計額」という欄と、</t>
    <rPh sb="1" eb="3">
      <t>ゲンセン</t>
    </rPh>
    <rPh sb="3" eb="5">
      <t>チョウシュウ</t>
    </rPh>
    <rPh sb="5" eb="6">
      <t>ヒョウ</t>
    </rPh>
    <rPh sb="9" eb="11">
      <t>ニュウリョク</t>
    </rPh>
    <rPh sb="12" eb="13">
      <t>カタ</t>
    </rPh>
    <rPh sb="15" eb="17">
      <t>ショトク</t>
    </rPh>
    <rPh sb="17" eb="19">
      <t>コウジョ</t>
    </rPh>
    <rPh sb="20" eb="21">
      <t>ガク</t>
    </rPh>
    <rPh sb="22" eb="24">
      <t>ゴウケイ</t>
    </rPh>
    <rPh sb="24" eb="25">
      <t>ガク</t>
    </rPh>
    <rPh sb="29" eb="30">
      <t>ラン</t>
    </rPh>
    <phoneticPr fontId="1"/>
  </si>
  <si>
    <t>　差し引いた金額を入力してください。</t>
    <rPh sb="1" eb="2">
      <t>サ</t>
    </rPh>
    <rPh sb="3" eb="4">
      <t>ヒ</t>
    </rPh>
    <rPh sb="6" eb="8">
      <t>キンガク</t>
    </rPh>
    <rPh sb="9" eb="11">
      <t>ニュウリョク</t>
    </rPh>
    <phoneticPr fontId="1"/>
  </si>
  <si>
    <t>配当所得</t>
    <rPh sb="0" eb="2">
      <t>ハイトウ</t>
    </rPh>
    <rPh sb="2" eb="4">
      <t>ショトク</t>
    </rPh>
    <phoneticPr fontId="1"/>
  </si>
  <si>
    <t>配当控除</t>
    <rPh sb="0" eb="2">
      <t>ハイトウ</t>
    </rPh>
    <rPh sb="2" eb="4">
      <t>コウジョ</t>
    </rPh>
    <phoneticPr fontId="1"/>
  </si>
  <si>
    <t>住借、配当控除後所得税</t>
    <rPh sb="0" eb="1">
      <t>ジュウ</t>
    </rPh>
    <rPh sb="1" eb="2">
      <t>カ</t>
    </rPh>
    <rPh sb="3" eb="5">
      <t>ハイトウ</t>
    </rPh>
    <rPh sb="5" eb="7">
      <t>コウジョ</t>
    </rPh>
    <rPh sb="7" eb="8">
      <t>ゴ</t>
    </rPh>
    <rPh sb="8" eb="11">
      <t>ショトクゼイ</t>
    </rPh>
    <phoneticPr fontId="1"/>
  </si>
  <si>
    <t>住借、配当控除後所得割</t>
    <rPh sb="3" eb="5">
      <t>ハイトウ</t>
    </rPh>
    <phoneticPr fontId="1"/>
  </si>
  <si>
    <t>配偶者配当所得</t>
    <rPh sb="0" eb="3">
      <t>ハイグウシャ</t>
    </rPh>
    <rPh sb="3" eb="7">
      <t>ハイトウショトク</t>
    </rPh>
    <phoneticPr fontId="1"/>
  </si>
  <si>
    <t xml:space="preserve"> 所得税（仮）</t>
    <rPh sb="1" eb="4">
      <t>ショトクゼイ</t>
    </rPh>
    <rPh sb="5" eb="6">
      <t>カリ</t>
    </rPh>
    <phoneticPr fontId="1"/>
  </si>
  <si>
    <t xml:space="preserve"> 所得税分住借控除額</t>
    <rPh sb="1" eb="4">
      <t>ショトクゼイ</t>
    </rPh>
    <rPh sb="4" eb="5">
      <t>ブン</t>
    </rPh>
    <rPh sb="5" eb="6">
      <t>ジュウ</t>
    </rPh>
    <rPh sb="6" eb="7">
      <t>カ</t>
    </rPh>
    <rPh sb="7" eb="9">
      <t>コウジョ</t>
    </rPh>
    <rPh sb="9" eb="10">
      <t>ガク</t>
    </rPh>
    <phoneticPr fontId="1"/>
  </si>
  <si>
    <t xml:space="preserve"> 住借、配当控除後所得税</t>
    <rPh sb="1" eb="2">
      <t>ジュウ</t>
    </rPh>
    <rPh sb="2" eb="3">
      <t>カ</t>
    </rPh>
    <rPh sb="4" eb="6">
      <t>ハイトウ</t>
    </rPh>
    <rPh sb="6" eb="8">
      <t>コウジョ</t>
    </rPh>
    <rPh sb="8" eb="9">
      <t>ゴ</t>
    </rPh>
    <rPh sb="9" eb="12">
      <t>ショトクゼイ</t>
    </rPh>
    <phoneticPr fontId="1"/>
  </si>
  <si>
    <t xml:space="preserve"> 復興特別所得税</t>
    <rPh sb="1" eb="3">
      <t>フッコウ</t>
    </rPh>
    <rPh sb="3" eb="5">
      <t>トクベツ</t>
    </rPh>
    <rPh sb="5" eb="8">
      <t>ショトクゼイ</t>
    </rPh>
    <phoneticPr fontId="1"/>
  </si>
  <si>
    <t>所得税分配当控除額</t>
    <rPh sb="0" eb="3">
      <t>ショトクゼイ</t>
    </rPh>
    <rPh sb="3" eb="4">
      <t>ブン</t>
    </rPh>
    <rPh sb="4" eb="6">
      <t>ハイトウ</t>
    </rPh>
    <rPh sb="6" eb="8">
      <t>コウジョ</t>
    </rPh>
    <rPh sb="8" eb="9">
      <t>ガク</t>
    </rPh>
    <phoneticPr fontId="1"/>
  </si>
  <si>
    <t xml:space="preserve"> 所得税分配当控除額</t>
    <rPh sb="1" eb="4">
      <t>ショトクゼイ</t>
    </rPh>
    <rPh sb="4" eb="5">
      <t>ブン</t>
    </rPh>
    <rPh sb="5" eb="7">
      <t>ハイトウ</t>
    </rPh>
    <rPh sb="7" eb="9">
      <t>コウジョ</t>
    </rPh>
    <rPh sb="9" eb="10">
      <t>ガク</t>
    </rPh>
    <phoneticPr fontId="1"/>
  </si>
  <si>
    <t>配偶者給与所得</t>
    <rPh sb="0" eb="3">
      <t>ハイグウシャ</t>
    </rPh>
    <rPh sb="3" eb="5">
      <t>キュウヨ</t>
    </rPh>
    <rPh sb="5" eb="7">
      <t>ショトク</t>
    </rPh>
    <phoneticPr fontId="1"/>
  </si>
  <si>
    <t>配偶者公的年金収入</t>
    <rPh sb="0" eb="3">
      <t>ハイグウシャ</t>
    </rPh>
    <rPh sb="3" eb="5">
      <t>コウテキ</t>
    </rPh>
    <rPh sb="5" eb="7">
      <t>ネンキン</t>
    </rPh>
    <rPh sb="7" eb="9">
      <t>シュウニュウ</t>
    </rPh>
    <phoneticPr fontId="1"/>
  </si>
  <si>
    <t>配偶者公的年金所得</t>
    <rPh sb="0" eb="3">
      <t>ハイグウシャ</t>
    </rPh>
    <rPh sb="3" eb="5">
      <t>コウテキ</t>
    </rPh>
    <rPh sb="5" eb="7">
      <t>ネンキン</t>
    </rPh>
    <rPh sb="7" eb="9">
      <t>ショトク</t>
    </rPh>
    <phoneticPr fontId="1"/>
  </si>
  <si>
    <t>配偶者総所得</t>
    <rPh sb="0" eb="3">
      <t>ハイグウシャ</t>
    </rPh>
    <rPh sb="3" eb="6">
      <t>ソウショトク</t>
    </rPh>
    <phoneticPr fontId="1"/>
  </si>
  <si>
    <t>いる（64歳以下）</t>
    <rPh sb="5" eb="6">
      <t>サイ</t>
    </rPh>
    <rPh sb="6" eb="8">
      <t>イカ</t>
    </rPh>
    <phoneticPr fontId="1"/>
  </si>
  <si>
    <t>　本人の特別障がい</t>
    <rPh sb="1" eb="3">
      <t>ホンニン</t>
    </rPh>
    <rPh sb="4" eb="6">
      <t>トクベツ</t>
    </rPh>
    <rPh sb="6" eb="7">
      <t>ショウ</t>
    </rPh>
    <phoneticPr fontId="1"/>
  </si>
  <si>
    <t>　別居の特別障がい</t>
    <rPh sb="1" eb="3">
      <t>ベッキョ</t>
    </rPh>
    <rPh sb="4" eb="6">
      <t>トクベツ</t>
    </rPh>
    <rPh sb="6" eb="7">
      <t>ショウ</t>
    </rPh>
    <phoneticPr fontId="1"/>
  </si>
  <si>
    <t>本人の特別障がい</t>
    <rPh sb="0" eb="2">
      <t>ホンニン</t>
    </rPh>
    <rPh sb="3" eb="5">
      <t>トクベツ</t>
    </rPh>
    <rPh sb="5" eb="6">
      <t>ショウ</t>
    </rPh>
    <phoneticPr fontId="1"/>
  </si>
  <si>
    <t>別居の特別障がい</t>
    <rPh sb="0" eb="2">
      <t>ベッキョ</t>
    </rPh>
    <rPh sb="3" eb="6">
      <t>トクベツショウ</t>
    </rPh>
    <phoneticPr fontId="1"/>
  </si>
  <si>
    <t>本人の特別障がい</t>
    <rPh sb="0" eb="2">
      <t>ホンニン</t>
    </rPh>
    <rPh sb="3" eb="6">
      <t>トクベツショウ</t>
    </rPh>
    <phoneticPr fontId="1"/>
  </si>
  <si>
    <t>　 これ以上の寄附をすることも可能です。</t>
    <rPh sb="4" eb="6">
      <t>イジョウ</t>
    </rPh>
    <rPh sb="7" eb="9">
      <t>キフ</t>
    </rPh>
    <rPh sb="15" eb="17">
      <t>カノウ</t>
    </rPh>
    <phoneticPr fontId="1"/>
  </si>
  <si>
    <t>　 実質負担額が2,000円とならない場合もあります。</t>
    <rPh sb="2" eb="4">
      <t>ジッシツ</t>
    </rPh>
    <rPh sb="4" eb="6">
      <t>フタン</t>
    </rPh>
    <rPh sb="6" eb="7">
      <t>ガク</t>
    </rPh>
    <rPh sb="13" eb="14">
      <t>エン</t>
    </rPh>
    <rPh sb="19" eb="21">
      <t>バアイ</t>
    </rPh>
    <phoneticPr fontId="1"/>
  </si>
  <si>
    <t>　 場合もあります。</t>
    <rPh sb="2" eb="4">
      <t>バアイ</t>
    </rPh>
    <phoneticPr fontId="1"/>
  </si>
  <si>
    <t>※住宅借入金控除を受けられている方は、寄付金控除を受けても税額に影響がない場合があります。</t>
  </si>
  <si>
    <t>住借増減額</t>
    <rPh sb="0" eb="1">
      <t>ジュウ</t>
    </rPh>
    <rPh sb="1" eb="2">
      <t>シャク</t>
    </rPh>
    <rPh sb="2" eb="5">
      <t>ゾウゲンガク</t>
    </rPh>
    <phoneticPr fontId="1"/>
  </si>
  <si>
    <t>）</t>
  </si>
  <si>
    <t>　特定扶養親族の数</t>
    <rPh sb="1" eb="3">
      <t>トクテイ</t>
    </rPh>
    <rPh sb="3" eb="5">
      <t>フヨウ</t>
    </rPh>
    <rPh sb="5" eb="7">
      <t>シンゾク</t>
    </rPh>
    <rPh sb="8" eb="9">
      <t>カズ</t>
    </rPh>
    <phoneticPr fontId="1"/>
  </si>
  <si>
    <t>　</t>
  </si>
  <si>
    <t>　本人の一般障がい</t>
    <rPh sb="1" eb="3">
      <t>ホンニン</t>
    </rPh>
    <rPh sb="4" eb="6">
      <t>イッパン</t>
    </rPh>
    <rPh sb="6" eb="7">
      <t>ショウ</t>
    </rPh>
    <phoneticPr fontId="1"/>
  </si>
  <si>
    <t>寄附金額から控除額を知りたい方へ</t>
    <rPh sb="0" eb="2">
      <t>キフ</t>
    </rPh>
    <rPh sb="2" eb="4">
      <t>キンガク</t>
    </rPh>
    <rPh sb="6" eb="8">
      <t>コウジョ</t>
    </rPh>
    <rPh sb="8" eb="9">
      <t>ガク</t>
    </rPh>
    <rPh sb="10" eb="11">
      <t>シ</t>
    </rPh>
    <rPh sb="14" eb="15">
      <t>カタ</t>
    </rPh>
    <phoneticPr fontId="1"/>
  </si>
  <si>
    <t>※寄附をすることによって所得税の税率が変わってしまう方は、</t>
    <rPh sb="1" eb="3">
      <t>キフ</t>
    </rPh>
    <rPh sb="12" eb="15">
      <t>ショトクゼイ</t>
    </rPh>
    <rPh sb="16" eb="18">
      <t>ゼイリツ</t>
    </rPh>
    <rPh sb="19" eb="20">
      <t>カ</t>
    </rPh>
    <rPh sb="26" eb="27">
      <t>カタ</t>
    </rPh>
    <phoneticPr fontId="1"/>
  </si>
  <si>
    <t>　寄附金特例控除額</t>
    <rPh sb="1" eb="4">
      <t>キフキン</t>
    </rPh>
    <rPh sb="4" eb="6">
      <t>トクレイ</t>
    </rPh>
    <rPh sb="6" eb="8">
      <t>コウジョ</t>
    </rPh>
    <rPh sb="8" eb="9">
      <t>ガク</t>
    </rPh>
    <phoneticPr fontId="1"/>
  </si>
  <si>
    <t>～15,16～18,19～22,23～64,65～69,70～(同居),70～(別居)</t>
  </si>
  <si>
    <t>　寄附金控除額</t>
    <rPh sb="1" eb="4">
      <t>キフキン</t>
    </rPh>
    <rPh sb="4" eb="6">
      <t>コウジョ</t>
    </rPh>
    <rPh sb="6" eb="7">
      <t>ガク</t>
    </rPh>
    <phoneticPr fontId="1"/>
  </si>
  <si>
    <t>　 また、寄附をすることで住宅借入金控除が増額となる方は、下の控除される金額が寄附金額－2,000円とならない</t>
    <rPh sb="5" eb="7">
      <t>キフ</t>
    </rPh>
    <rPh sb="13" eb="20">
      <t>ジュウタクカリイレキンコウジョ</t>
    </rPh>
    <rPh sb="21" eb="23">
      <t>ゾウガク</t>
    </rPh>
    <rPh sb="26" eb="27">
      <t>カタ</t>
    </rPh>
    <rPh sb="29" eb="30">
      <t>シタ</t>
    </rPh>
    <rPh sb="31" eb="33">
      <t>コウジョ</t>
    </rPh>
    <rPh sb="36" eb="38">
      <t>キンガク</t>
    </rPh>
    <rPh sb="39" eb="41">
      <t>キフ</t>
    </rPh>
    <rPh sb="41" eb="43">
      <t>キンガク</t>
    </rPh>
    <rPh sb="49" eb="50">
      <t>エン</t>
    </rPh>
    <phoneticPr fontId="1"/>
  </si>
  <si>
    <t>寄附金控除前</t>
    <rPh sb="0" eb="3">
      <t>キフキン</t>
    </rPh>
    <rPh sb="3" eb="5">
      <t>コウジョ</t>
    </rPh>
    <rPh sb="5" eb="6">
      <t>マエ</t>
    </rPh>
    <phoneticPr fontId="1"/>
  </si>
  <si>
    <t>所得税額</t>
    <rPh sb="0" eb="3">
      <t>ショトクゼイ</t>
    </rPh>
    <rPh sb="3" eb="4">
      <t>ガク</t>
    </rPh>
    <phoneticPr fontId="1"/>
  </si>
  <si>
    <t>障寡ひ</t>
    <rPh sb="0" eb="1">
      <t>ショウ</t>
    </rPh>
    <rPh sb="1" eb="2">
      <t>スク</t>
    </rPh>
    <phoneticPr fontId="1"/>
  </si>
  <si>
    <t>本人</t>
    <rPh sb="0" eb="2">
      <t>ホンニン</t>
    </rPh>
    <phoneticPr fontId="1"/>
  </si>
  <si>
    <t>※源泉徴収税額があれば⑨-1の金額を、なければ⑨-2の金額を入力してください。</t>
    <rPh sb="1" eb="3">
      <t>ゲンセン</t>
    </rPh>
    <rPh sb="3" eb="5">
      <t>チョウシュウ</t>
    </rPh>
    <rPh sb="5" eb="7">
      <t>ゼイガク</t>
    </rPh>
    <rPh sb="15" eb="17">
      <t>キンガク</t>
    </rPh>
    <phoneticPr fontId="1"/>
  </si>
  <si>
    <r>
      <t>令和７年分　ふるさと納税　寄附金額シミュレーター</t>
    </r>
    <r>
      <rPr>
        <sz val="11"/>
        <color theme="1"/>
        <rFont val="ＭＳ Ｐゴシック"/>
      </rPr>
      <t>（分離課税（</t>
    </r>
    <r>
      <rPr>
        <sz val="10"/>
        <color rgb="FFFF0000"/>
        <rFont val="ＭＳ Ｐゴシック"/>
      </rPr>
      <t>譲渡所得等</t>
    </r>
    <r>
      <rPr>
        <sz val="11"/>
        <color theme="1"/>
        <rFont val="ＭＳ Ｐゴシック"/>
      </rPr>
      <t>）には対応しておりません）</t>
    </r>
    <rPh sb="0" eb="2">
      <t>レイワ</t>
    </rPh>
    <rPh sb="3" eb="4">
      <t>ネン</t>
    </rPh>
    <rPh sb="4" eb="5">
      <t>ブン</t>
    </rPh>
    <rPh sb="10" eb="12">
      <t>ノウゼイ</t>
    </rPh>
    <rPh sb="13" eb="16">
      <t>キフキン</t>
    </rPh>
    <rPh sb="16" eb="17">
      <t>ガク</t>
    </rPh>
    <phoneticPr fontId="1"/>
  </si>
  <si>
    <t>人的控除の差額合計</t>
    <rPh sb="0" eb="2">
      <t>ジンテキ</t>
    </rPh>
    <rPh sb="2" eb="4">
      <t>コウジョ</t>
    </rPh>
    <rPh sb="5" eb="7">
      <t>サガク</t>
    </rPh>
    <rPh sb="7" eb="9">
      <t>ゴウケイ</t>
    </rPh>
    <phoneticPr fontId="1"/>
  </si>
  <si>
    <t>　16歳未満の扶養親族の人数</t>
    <rPh sb="3" eb="4">
      <t>サイ</t>
    </rPh>
    <rPh sb="4" eb="6">
      <t>ミマン</t>
    </rPh>
    <rPh sb="7" eb="9">
      <t>フヨウ</t>
    </rPh>
    <rPh sb="9" eb="11">
      <t>シンゾク</t>
    </rPh>
    <rPh sb="12" eb="14">
      <t>ニンズウ</t>
    </rPh>
    <phoneticPr fontId="1"/>
  </si>
  <si>
    <t>特定親族特別控除(住民税)</t>
  </si>
  <si>
    <t>　その他扶養親族の人数</t>
    <rPh sb="3" eb="4">
      <t>タ</t>
    </rPh>
    <rPh sb="4" eb="6">
      <t>フヨウ</t>
    </rPh>
    <rPh sb="6" eb="8">
      <t>シンゾク</t>
    </rPh>
    <rPh sb="9" eb="11">
      <t>ニンズウ</t>
    </rPh>
    <phoneticPr fontId="1"/>
  </si>
  <si>
    <t>　別居老人扶養親族の数</t>
    <rPh sb="1" eb="3">
      <t>ベッキョ</t>
    </rPh>
    <rPh sb="3" eb="5">
      <t>ロウジン</t>
    </rPh>
    <rPh sb="5" eb="7">
      <t>フヨウ</t>
    </rPh>
    <rPh sb="7" eb="9">
      <t>シンゾク</t>
    </rPh>
    <rPh sb="10" eb="11">
      <t>カズ</t>
    </rPh>
    <phoneticPr fontId="1"/>
  </si>
  <si>
    <t>　特定親族特別控除の金額</t>
    <rPh sb="1" eb="3">
      <t>トクテイ</t>
    </rPh>
    <rPh sb="3" eb="5">
      <t>シンゾク</t>
    </rPh>
    <rPh sb="5" eb="7">
      <t>トクベツ</t>
    </rPh>
    <rPh sb="7" eb="9">
      <t>コウジョ</t>
    </rPh>
    <rPh sb="10" eb="12">
      <t>キンガク</t>
    </rPh>
    <phoneticPr fontId="1"/>
  </si>
  <si>
    <t>その他扶養親族の人数</t>
    <rPh sb="2" eb="3">
      <t>タ</t>
    </rPh>
    <rPh sb="3" eb="5">
      <t>フヨウ</t>
    </rPh>
    <rPh sb="5" eb="7">
      <t>シンゾク</t>
    </rPh>
    <rPh sb="8" eb="10">
      <t>ニンズウ</t>
    </rPh>
    <phoneticPr fontId="1"/>
  </si>
  <si>
    <t>同居老人扶養親族の人数</t>
    <rPh sb="0" eb="2">
      <t>ドウキョ</t>
    </rPh>
    <rPh sb="2" eb="4">
      <t>ロウジン</t>
    </rPh>
    <rPh sb="4" eb="6">
      <t>フヨウ</t>
    </rPh>
    <rPh sb="6" eb="8">
      <t>シンゾク</t>
    </rPh>
    <rPh sb="9" eb="10">
      <t>ニン</t>
    </rPh>
    <rPh sb="10" eb="11">
      <t>カズ</t>
    </rPh>
    <phoneticPr fontId="1"/>
  </si>
  <si>
    <t>特定扶養親族の人数</t>
    <rPh sb="0" eb="2">
      <t>トクテイ</t>
    </rPh>
    <rPh sb="2" eb="4">
      <t>フヨウ</t>
    </rPh>
    <rPh sb="4" eb="6">
      <t>シンゾク</t>
    </rPh>
    <rPh sb="7" eb="8">
      <t>ヒト</t>
    </rPh>
    <rPh sb="8" eb="9">
      <t>カズ</t>
    </rPh>
    <phoneticPr fontId="1"/>
  </si>
  <si>
    <t>公的年金収入</t>
    <rPh sb="0" eb="4">
      <t>コウテキネンキン</t>
    </rPh>
    <rPh sb="4" eb="6">
      <t>シュウニュウ</t>
    </rPh>
    <phoneticPr fontId="1"/>
  </si>
  <si>
    <t>その他所得</t>
    <rPh sb="2" eb="3">
      <t>タ</t>
    </rPh>
    <rPh sb="3" eb="5">
      <t>ショトク</t>
    </rPh>
    <phoneticPr fontId="1"/>
  </si>
  <si>
    <t>扶養控除</t>
    <rPh sb="0" eb="2">
      <t>フヨウ</t>
    </rPh>
    <rPh sb="2" eb="4">
      <t>コウジョ</t>
    </rPh>
    <phoneticPr fontId="1"/>
  </si>
  <si>
    <t>特定親族特別控除(所得税)</t>
    <rPh sb="0" eb="2">
      <t>トクテイ</t>
    </rPh>
    <rPh sb="2" eb="4">
      <t>シンゾク</t>
    </rPh>
    <rPh sb="4" eb="6">
      <t>トクベツ</t>
    </rPh>
    <rPh sb="6" eb="8">
      <t>コウジョ</t>
    </rPh>
    <rPh sb="9" eb="12">
      <t>ショトクゼイ</t>
    </rPh>
    <phoneticPr fontId="1"/>
  </si>
  <si>
    <t>給与・年金調整控除</t>
    <rPh sb="0" eb="2">
      <t>キュウヨ</t>
    </rPh>
    <rPh sb="3" eb="5">
      <t>ネンキン</t>
    </rPh>
    <rPh sb="5" eb="7">
      <t>チョウセイ</t>
    </rPh>
    <rPh sb="7" eb="9">
      <t>コウジョ</t>
    </rPh>
    <phoneticPr fontId="1"/>
  </si>
  <si>
    <t>控除区分</t>
    <rPh sb="0" eb="2">
      <t>コウジョ</t>
    </rPh>
    <rPh sb="2" eb="4">
      <t>クブン</t>
    </rPh>
    <phoneticPr fontId="1"/>
  </si>
  <si>
    <t>控除額</t>
    <rPh sb="0" eb="2">
      <t>コウジョ</t>
    </rPh>
    <rPh sb="2" eb="3">
      <t>ガク</t>
    </rPh>
    <phoneticPr fontId="1"/>
  </si>
  <si>
    <t>64歳以下</t>
    <rPh sb="2" eb="3">
      <t>サイ</t>
    </rPh>
    <rPh sb="3" eb="5">
      <t>イカ</t>
    </rPh>
    <phoneticPr fontId="1"/>
  </si>
  <si>
    <t>特別特定扶養</t>
    <rPh sb="0" eb="2">
      <t>トクベツ</t>
    </rPh>
    <rPh sb="2" eb="4">
      <t>トクテイ</t>
    </rPh>
    <rPh sb="4" eb="6">
      <t>フヨウ</t>
    </rPh>
    <phoneticPr fontId="1"/>
  </si>
  <si>
    <t>住民税</t>
    <rPh sb="0" eb="3">
      <t>ジュウミンゼイ</t>
    </rPh>
    <phoneticPr fontId="1"/>
  </si>
  <si>
    <t>2人目</t>
    <rPh sb="1" eb="2">
      <t>ニン</t>
    </rPh>
    <rPh sb="2" eb="3">
      <t>メ</t>
    </rPh>
    <phoneticPr fontId="1"/>
  </si>
  <si>
    <t>5人目</t>
    <rPh sb="1" eb="2">
      <t>ニン</t>
    </rPh>
    <rPh sb="2" eb="3">
      <t>メ</t>
    </rPh>
    <phoneticPr fontId="1"/>
  </si>
  <si>
    <t>16未満</t>
    <rPh sb="2" eb="4">
      <t>ミマン</t>
    </rPh>
    <phoneticPr fontId="1"/>
  </si>
  <si>
    <t>その他扶養</t>
    <rPh sb="2" eb="3">
      <t>タ</t>
    </rPh>
    <rPh sb="3" eb="5">
      <t>フヨウ</t>
    </rPh>
    <phoneticPr fontId="1"/>
  </si>
  <si>
    <t>同居老人</t>
    <rPh sb="0" eb="2">
      <t>ドウキョ</t>
    </rPh>
    <rPh sb="2" eb="4">
      <t>ロウジン</t>
    </rPh>
    <phoneticPr fontId="1"/>
  </si>
  <si>
    <t>別居老人</t>
    <rPh sb="0" eb="2">
      <t>ベッキョ</t>
    </rPh>
    <rPh sb="2" eb="4">
      <t>ロウジン</t>
    </rPh>
    <phoneticPr fontId="1"/>
  </si>
  <si>
    <t>特定扶養</t>
    <rPh sb="0" eb="2">
      <t>トクテイ</t>
    </rPh>
    <rPh sb="2" eb="4">
      <t>フヨウ</t>
    </rPh>
    <phoneticPr fontId="1"/>
  </si>
  <si>
    <t>メッセージ</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</si>
</sst>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_ &quot;円&quot;"/>
    <numFmt numFmtId="177" formatCode="##,##0&quot;人&quot;"/>
    <numFmt numFmtId="178" formatCode="#,##0_ "/>
    <numFmt numFmtId="179" formatCode="#,##0;\0;#,##0"/>
    <numFmt numFmtId="180" formatCode="#,##0;;0"/>
    <numFmt numFmtId="181" formatCode="0_ "/>
    <numFmt numFmtId="182" formatCode="0_);[Red]\(0\)"/>
    <numFmt numFmtId="183" formatCode="#,##0_);[Red]\(#,##0\)"/>
    <numFmt numFmtId="184" formatCode="#,###;0;0"/>
  </numFmts>
  <fonts count="18">
    <font>
      <sz val="11"/>
      <color theme="1"/>
      <name val="ＭＳ Ｐゴシック"/>
      <family val="3"/>
      <scheme val="minor"/>
    </font>
    <font>
      <sz val="6"/>
      <color auto="1"/>
      <name val="ＭＳ Ｐゴシック"/>
      <family val="3"/>
      <scheme val="minor"/>
    </font>
    <font>
      <sz val="18"/>
      <color theme="1"/>
      <name val="ＭＳ Ｐゴシック"/>
      <family val="3"/>
      <scheme val="minor"/>
    </font>
    <font>
      <sz val="14"/>
      <color theme="1"/>
      <name val="ＭＳ Ｐゴシック"/>
      <family val="3"/>
      <scheme val="minor"/>
    </font>
    <font>
      <sz val="11"/>
      <color auto="1"/>
      <name val="ＭＳ Ｐゴシック"/>
      <family val="3"/>
    </font>
    <font>
      <sz val="11"/>
      <color rgb="FFFF0000"/>
      <name val="ＭＳ Ｐゴシック"/>
      <family val="3"/>
      <scheme val="minor"/>
    </font>
    <font>
      <sz val="10"/>
      <color theme="1"/>
      <name val="ＭＳ Ｐゴシック"/>
      <family val="3"/>
      <scheme val="minor"/>
    </font>
    <font>
      <sz val="36"/>
      <color rgb="FFFF0000"/>
      <name val="ＭＳ Ｐゴシック"/>
      <family val="2"/>
      <scheme val="minor"/>
    </font>
    <font>
      <sz val="9"/>
      <color theme="1"/>
      <name val="ＭＳ Ｐゴシック"/>
      <family val="3"/>
      <scheme val="minor"/>
    </font>
    <font>
      <sz val="8"/>
      <color rgb="FFFF0000"/>
      <name val="ＭＳ Ｐゴシック"/>
      <family val="3"/>
      <scheme val="minor"/>
    </font>
    <font>
      <sz val="20"/>
      <color theme="1"/>
      <name val="ＭＳ Ｐゴシック"/>
      <family val="3"/>
      <scheme val="minor"/>
    </font>
    <font>
      <sz val="18"/>
      <color rgb="FFFF0000"/>
      <name val="ＭＳ Ｐゴシック"/>
      <family val="3"/>
      <scheme val="minor"/>
    </font>
    <font>
      <sz val="11"/>
      <color theme="0"/>
      <name val="ＭＳ Ｐゴシック"/>
      <family val="3"/>
      <scheme val="minor"/>
    </font>
    <font>
      <sz val="11"/>
      <color theme="1"/>
      <name val="ＭＳ Ｐゴシック"/>
      <family val="3"/>
      <scheme val="minor"/>
    </font>
    <font>
      <sz val="10"/>
      <color auto="1"/>
      <name val="ＭＳ Ｐゴシック"/>
      <family val="3"/>
    </font>
    <font>
      <sz val="9"/>
      <color auto="1"/>
      <name val="ＭＳ Ｐゴシック"/>
      <family val="3"/>
    </font>
    <font>
      <sz val="8"/>
      <color auto="1"/>
      <name val="ＭＳ Ｐゴシック"/>
      <family val="3"/>
    </font>
    <font>
      <sz val="12"/>
      <color auto="1"/>
      <name val="ＭＳ Ｐゴシック"/>
      <family val="3"/>
    </font>
  </fonts>
  <fills count="6">
    <fill>
      <patternFill patternType="none"/>
    </fill>
    <fill>
      <patternFill patternType="gray125"/>
    </fill>
    <fill>
      <patternFill patternType="solid">
        <fgColor theme="4" tint="0.8"/>
        <bgColor indexed="64"/>
      </patternFill>
    </fill>
    <fill>
      <patternFill patternType="solid">
        <fgColor theme="9" tint="0.6"/>
        <bgColor indexed="64"/>
      </patternFill>
    </fill>
    <fill>
      <patternFill patternType="solid">
        <fgColor rgb="FFC6E0B4"/>
        <bgColor indexed="64"/>
      </patternFill>
    </fill>
    <fill>
      <patternFill patternType="solid">
        <fgColor rgb="FFDFECF7"/>
        <bgColor indexed="64"/>
      </patternFill>
    </fill>
  </fills>
  <borders count="97">
    <border>
      <left/>
      <right/>
      <top/>
      <bottom/>
      <diagonal/>
    </border>
    <border>
      <left/>
      <right/>
      <top/>
      <bottom style="thin">
        <color theme="0" tint="-0.5"/>
      </bottom>
      <diagonal/>
    </border>
    <border>
      <left/>
      <right/>
      <top style="thin">
        <color theme="0" tint="-0.5"/>
      </top>
      <bottom style="thin">
        <color theme="0" tint="-0.5"/>
      </bottom>
      <diagonal/>
    </border>
    <border>
      <left/>
      <right/>
      <top style="thin">
        <color theme="0" tint="-0.5"/>
      </top>
      <bottom/>
      <diagonal/>
    </border>
    <border>
      <left/>
      <right/>
      <top/>
      <bottom style="thick">
        <color rgb="FFC00000"/>
      </bottom>
      <diagonal/>
    </border>
    <border>
      <left style="thick">
        <color rgb="FFC00000"/>
      </left>
      <right style="thick">
        <color rgb="FFC00000"/>
      </right>
      <top style="thick">
        <color rgb="FFC00000"/>
      </top>
      <bottom style="thick">
        <color rgb="FFC00000"/>
      </bottom>
      <diagonal/>
    </border>
    <border>
      <left/>
      <right/>
      <top style="thick">
        <color rgb="FFC00000"/>
      </top>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right style="double">
        <color indexed="64"/>
      </right>
      <top/>
      <bottom/>
      <diagonal/>
    </border>
    <border>
      <left/>
      <right/>
      <top style="double">
        <color indexed="64"/>
      </top>
      <bottom/>
      <diagonal/>
    </border>
    <border>
      <left/>
      <right/>
      <top/>
      <bottom style="double">
        <color indexed="64"/>
      </bottom>
      <diagonal/>
    </border>
    <border>
      <left/>
      <right/>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medium">
        <color rgb="FFFF7575"/>
      </bottom>
      <diagonal/>
    </border>
    <border>
      <left style="medium">
        <color rgb="FFFF7575"/>
      </left>
      <right/>
      <top style="medium">
        <color rgb="FFFF7575"/>
      </top>
      <bottom/>
      <diagonal/>
    </border>
    <border>
      <left/>
      <right/>
      <top style="medium">
        <color rgb="FFFF7575"/>
      </top>
      <bottom/>
      <diagonal/>
    </border>
    <border>
      <left style="medium">
        <color rgb="FFFF7575"/>
      </left>
      <right/>
      <top/>
      <bottom/>
      <diagonal/>
    </border>
    <border>
      <left style="thick">
        <color rgb="FFC00000"/>
      </left>
      <right/>
      <top style="thick">
        <color rgb="FFC00000"/>
      </top>
      <bottom style="thick">
        <color rgb="FFC00000"/>
      </bottom>
      <diagonal/>
    </border>
    <border>
      <left style="thick">
        <color rgb="FFC00000"/>
      </left>
      <right style="double">
        <color indexed="64"/>
      </right>
      <top/>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thin">
        <color indexed="64"/>
      </bottom>
      <diagonal/>
    </border>
    <border>
      <left style="slantDashDot">
        <color indexed="64"/>
      </left>
      <right/>
      <top/>
      <bottom style="slantDashDot">
        <color indexed="64"/>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thin">
        <color indexed="64"/>
      </bottom>
      <diagonal/>
    </border>
    <border>
      <left/>
      <right style="slantDashDot">
        <color indexed="64"/>
      </right>
      <top/>
      <bottom style="slantDashDot">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medium">
        <color auto="1"/>
      </bottom>
      <diagonal/>
    </border>
    <border>
      <left/>
      <right style="thin">
        <color indexed="64"/>
      </right>
      <top style="medium">
        <color indexed="64"/>
      </top>
      <bottom/>
      <diagonal/>
    </border>
    <border>
      <left/>
      <right/>
      <top/>
      <bottom style="thin">
        <color auto="1"/>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style="thick">
        <color rgb="FF0070C0"/>
      </right>
      <top/>
      <bottom/>
      <diagonal/>
    </border>
    <border>
      <left/>
      <right/>
      <top style="double">
        <color indexed="64"/>
      </top>
      <bottom style="thick">
        <color rgb="FFFF0000"/>
      </bottom>
      <diagonal/>
    </border>
    <border>
      <left style="thick">
        <color rgb="FFFF0000"/>
      </left>
      <right style="thick">
        <color rgb="FFFF0000"/>
      </right>
      <top style="thick">
        <color rgb="FFFF0000"/>
      </top>
      <bottom style="thick">
        <color rgb="FFFF0000"/>
      </bottom>
      <diagonal/>
    </border>
    <border>
      <left/>
      <right/>
      <top style="thick">
        <color rgb="FFFF0000"/>
      </top>
      <bottom/>
      <diagonal/>
    </border>
    <border>
      <left style="thick">
        <color rgb="FF0070C0"/>
      </left>
      <right/>
      <top style="thick">
        <color rgb="FF0070C0"/>
      </top>
      <bottom style="thick">
        <color rgb="FF0070C0"/>
      </bottom>
      <diagonal/>
    </border>
    <border>
      <left/>
      <right/>
      <top style="thick">
        <color rgb="FF0070C0"/>
      </top>
      <bottom style="double">
        <color indexed="64"/>
      </bottom>
      <diagonal/>
    </border>
    <border>
      <left style="thick">
        <color rgb="FF0070C0"/>
      </left>
      <right style="double">
        <color indexed="64"/>
      </right>
      <top/>
      <bottom/>
      <diagonal/>
    </border>
    <border>
      <left style="thick">
        <color rgb="FFFF0000"/>
      </left>
      <right style="double">
        <color indexed="64"/>
      </right>
      <top/>
      <bottom/>
      <diagonal/>
    </border>
    <border>
      <left style="mediumDashed">
        <color indexed="64"/>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style="mediumDashed">
        <color indexed="64"/>
      </left>
      <right style="thick">
        <color rgb="FF0070C0"/>
      </right>
      <top/>
      <bottom/>
      <diagonal/>
    </border>
    <border>
      <left/>
      <right/>
      <top style="mediumDashed">
        <color indexed="64"/>
      </top>
      <bottom style="thick">
        <color rgb="FFFF0000"/>
      </bottom>
      <diagonal/>
    </border>
    <border>
      <left/>
      <right/>
      <top style="thick">
        <color rgb="FF0070C0"/>
      </top>
      <bottom style="mediumDashed">
        <color indexed="64"/>
      </bottom>
      <diagonal/>
    </border>
    <border>
      <left/>
      <right/>
      <top style="mediumDashed">
        <color indexed="64"/>
      </top>
      <bottom/>
      <diagonal/>
    </border>
    <border>
      <left/>
      <right style="mediumDashed">
        <color indexed="64"/>
      </right>
      <top style="mediumDashed">
        <color indexed="64"/>
      </top>
      <bottom/>
      <diagonal/>
    </border>
    <border>
      <left/>
      <right style="mediumDashed">
        <color indexed="64"/>
      </right>
      <top/>
      <bottom/>
      <diagonal/>
    </border>
    <border>
      <left style="thick">
        <color rgb="FF0070C0"/>
      </left>
      <right style="mediumDashed">
        <color indexed="64"/>
      </right>
      <top/>
      <bottom/>
      <diagonal/>
    </border>
    <border>
      <left/>
      <right style="mediumDashed">
        <color indexed="64"/>
      </right>
      <top/>
      <bottom style="mediumDashed">
        <color indexed="64"/>
      </bottom>
      <diagonal/>
    </border>
    <border>
      <left style="thick">
        <color rgb="FFFF0000"/>
      </left>
      <right style="mediumDashed">
        <color indexed="64"/>
      </right>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textRotation="255" shrinkToFit="1"/>
    </xf>
    <xf numFmtId="0" fontId="0" fillId="0" borderId="0" xfId="0" applyAlignment="1">
      <alignment horizontal="center" vertical="center" textRotation="255" shrinkToFit="1"/>
    </xf>
    <xf numFmtId="0" fontId="2" fillId="0" borderId="0" xfId="0" applyFont="1" applyBorder="1"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3" fillId="0" borderId="0" xfId="0" applyFont="1">
      <alignment vertical="center"/>
    </xf>
    <xf numFmtId="0" fontId="0" fillId="0" borderId="0" xfId="0" applyFont="1">
      <alignment vertical="center"/>
    </xf>
    <xf numFmtId="176" fontId="0" fillId="2" borderId="1" xfId="0" applyNumberFormat="1" applyFont="1" applyFill="1" applyBorder="1" applyAlignment="1" applyProtection="1">
      <alignment horizontal="right" vertical="center"/>
      <protection locked="0"/>
    </xf>
    <xf numFmtId="176" fontId="0" fillId="2" borderId="2" xfId="0" applyNumberFormat="1" applyFont="1" applyFill="1" applyBorder="1" applyAlignment="1" applyProtection="1">
      <alignment horizontal="right" vertical="center"/>
      <protection locked="0"/>
    </xf>
    <xf numFmtId="176" fontId="0" fillId="0" borderId="2" xfId="0" applyNumberFormat="1" applyFill="1" applyBorder="1" applyAlignment="1">
      <alignment horizontal="right" vertical="center"/>
    </xf>
    <xf numFmtId="176" fontId="0" fillId="2" borderId="0" xfId="0" applyNumberFormat="1" applyFont="1" applyFill="1" applyAlignment="1" applyProtection="1">
      <alignment horizontal="right" vertical="center"/>
      <protection locked="0"/>
    </xf>
    <xf numFmtId="0" fontId="0" fillId="3" borderId="0" xfId="0" applyFont="1" applyFill="1" applyAlignment="1" applyProtection="1">
      <alignment horizontal="center" vertical="center" shrinkToFit="1"/>
      <protection locked="0"/>
    </xf>
    <xf numFmtId="0" fontId="0" fillId="3" borderId="0" xfId="0" applyFont="1" applyFill="1" applyAlignment="1" applyProtection="1">
      <alignment horizontal="center" vertical="center"/>
      <protection locked="0"/>
    </xf>
    <xf numFmtId="177" fontId="0" fillId="2" borderId="1" xfId="0" applyNumberFormat="1" applyFont="1" applyFill="1" applyBorder="1" applyProtection="1">
      <alignment vertical="center"/>
      <protection locked="0"/>
    </xf>
    <xf numFmtId="177" fontId="0" fillId="2" borderId="1" xfId="0" applyNumberFormat="1" applyFont="1" applyFill="1" applyBorder="1" applyAlignment="1" applyProtection="1">
      <alignment horizontal="right" vertical="center"/>
      <protection locked="0"/>
    </xf>
    <xf numFmtId="177" fontId="0" fillId="2" borderId="0" xfId="0" applyNumberFormat="1" applyFont="1" applyFill="1" applyAlignment="1" applyProtection="1">
      <alignment horizontal="right" vertical="center"/>
      <protection locked="0"/>
    </xf>
    <xf numFmtId="177" fontId="0" fillId="2" borderId="3" xfId="0" applyNumberFormat="1" applyFont="1" applyFill="1" applyBorder="1" applyAlignment="1" applyProtection="1">
      <alignment horizontal="right" vertical="center"/>
      <protection locked="0"/>
    </xf>
    <xf numFmtId="177" fontId="0" fillId="0" borderId="3" xfId="0" applyNumberFormat="1" applyFont="1" applyFill="1" applyBorder="1" applyAlignment="1" applyProtection="1">
      <alignment horizontal="right" vertical="center"/>
    </xf>
    <xf numFmtId="177" fontId="0" fillId="0" borderId="0" xfId="0" applyNumberFormat="1" applyFont="1" applyFill="1" applyAlignment="1" applyProtection="1">
      <alignment horizontal="right" vertical="center"/>
    </xf>
    <xf numFmtId="177" fontId="0" fillId="0" borderId="2" xfId="0" applyNumberFormat="1" applyFont="1" applyFill="1" applyBorder="1" applyAlignment="1" applyProtection="1">
      <alignment horizontal="right" vertical="center"/>
    </xf>
    <xf numFmtId="176" fontId="0" fillId="0" borderId="0" xfId="0" applyNumberFormat="1" applyFont="1" applyFill="1" applyAlignment="1" applyProtection="1">
      <alignment horizontal="right" vertical="center"/>
    </xf>
    <xf numFmtId="176" fontId="0" fillId="2" borderId="1" xfId="0" applyNumberFormat="1" applyFont="1" applyFill="1" applyBorder="1" applyProtection="1">
      <alignment vertical="center"/>
      <protection locked="0"/>
    </xf>
    <xf numFmtId="176" fontId="0" fillId="2" borderId="0" xfId="0" applyNumberFormat="1" applyFont="1" applyFill="1" applyProtection="1">
      <alignment vertical="center"/>
      <protection locked="0"/>
    </xf>
    <xf numFmtId="176" fontId="0" fillId="2" borderId="3" xfId="0" applyNumberFormat="1" applyFont="1" applyFill="1" applyBorder="1" applyProtection="1">
      <alignment vertical="center"/>
      <protection locked="0"/>
    </xf>
    <xf numFmtId="176" fontId="0" fillId="2" borderId="2" xfId="0" applyNumberFormat="1" applyFont="1" applyFill="1" applyBorder="1" applyProtection="1">
      <alignment vertical="center"/>
      <protection locked="0"/>
    </xf>
    <xf numFmtId="0" fontId="0" fillId="0" borderId="4" xfId="0" applyNumberFormat="1" applyFill="1" applyBorder="1">
      <alignment vertical="center"/>
    </xf>
    <xf numFmtId="176" fontId="0" fillId="0" borderId="5" xfId="0" applyNumberFormat="1" applyBorder="1">
      <alignment vertical="center"/>
    </xf>
    <xf numFmtId="0" fontId="0" fillId="0" borderId="6" xfId="0" applyNumberFormat="1" applyBorder="1">
      <alignment vertical="center"/>
    </xf>
    <xf numFmtId="176" fontId="4" fillId="2" borderId="0" xfId="0" applyNumberFormat="1" applyFont="1" applyFill="1" applyBorder="1" applyProtection="1">
      <alignment vertical="center"/>
      <protection locked="0"/>
    </xf>
    <xf numFmtId="0" fontId="0" fillId="0" borderId="0" xfId="0" applyFont="1" applyFill="1" applyBorder="1" applyAlignment="1" applyProtection="1">
      <alignment horizontal="center" vertical="center" shrinkToFit="1"/>
      <protection locked="0"/>
    </xf>
    <xf numFmtId="176" fontId="0" fillId="0" borderId="1" xfId="0" applyNumberFormat="1" applyFill="1" applyBorder="1" applyAlignment="1">
      <alignment horizontal="right" vertical="center"/>
    </xf>
    <xf numFmtId="176" fontId="0" fillId="2" borderId="0" xfId="0" applyNumberFormat="1" applyFont="1" applyFill="1" applyBorder="1" applyAlignment="1" applyProtection="1">
      <alignment horizontal="right" vertical="center"/>
      <protection locked="0"/>
    </xf>
    <xf numFmtId="0" fontId="0" fillId="0" borderId="0" xfId="0" applyFont="1" applyFill="1" applyBorder="1" applyAlignment="1" applyProtection="1">
      <alignment horizontal="center" vertical="center"/>
      <protection locked="0"/>
    </xf>
    <xf numFmtId="0" fontId="5" fillId="0" borderId="0" xfId="0" applyFont="1">
      <alignment vertical="center"/>
    </xf>
    <xf numFmtId="176" fontId="0" fillId="0" borderId="0" xfId="0" applyNumberFormat="1" applyBorder="1" applyAlignment="1">
      <alignment horizontal="right" vertical="center"/>
    </xf>
    <xf numFmtId="176" fontId="0" fillId="2" borderId="3" xfId="0" applyNumberFormat="1" applyFont="1" applyFill="1" applyBorder="1" applyAlignment="1" applyProtection="1">
      <alignment horizontal="right" vertical="center"/>
      <protection locked="0"/>
    </xf>
    <xf numFmtId="0" fontId="6" fillId="0" borderId="0" xfId="0" applyFont="1">
      <alignment vertical="center"/>
    </xf>
    <xf numFmtId="0" fontId="6" fillId="0" borderId="0" xfId="0" applyFont="1" applyBorder="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0" fillId="4" borderId="7" xfId="0" applyFont="1" applyFill="1" applyBorder="1" applyProtection="1">
      <alignment vertical="center"/>
      <protection locked="0"/>
    </xf>
    <xf numFmtId="0" fontId="0" fillId="0" borderId="0" xfId="0" applyFont="1" applyBorder="1" applyAlignment="1" applyProtection="1">
      <alignment vertical="center" shrinkToFit="1"/>
      <protection locked="0"/>
    </xf>
    <xf numFmtId="0" fontId="8" fillId="0" borderId="0" xfId="0" applyFont="1">
      <alignment vertical="center"/>
    </xf>
    <xf numFmtId="176" fontId="0" fillId="5" borderId="8" xfId="0" applyNumberFormat="1" applyFont="1" applyFill="1" applyBorder="1" applyProtection="1">
      <alignment vertical="center"/>
      <protection locked="0"/>
    </xf>
    <xf numFmtId="0" fontId="7" fillId="0" borderId="9" xfId="0" applyFont="1" applyBorder="1" applyAlignment="1">
      <alignment horizontal="center" vertical="center"/>
    </xf>
    <xf numFmtId="0" fontId="0" fillId="0" borderId="9" xfId="0" applyBorder="1">
      <alignment vertical="center"/>
    </xf>
    <xf numFmtId="0" fontId="9" fillId="0" borderId="0" xfId="0" applyFont="1">
      <alignment vertical="center"/>
    </xf>
    <xf numFmtId="0" fontId="10" fillId="0" borderId="0" xfId="0" applyFont="1" applyAlignment="1">
      <alignment horizontal="center" vertical="center"/>
    </xf>
    <xf numFmtId="0" fontId="0" fillId="0" borderId="10" xfId="0" applyBorder="1">
      <alignment vertical="center"/>
    </xf>
    <xf numFmtId="0" fontId="7" fillId="0" borderId="10" xfId="0" applyFont="1" applyBorder="1" applyAlignment="1">
      <alignment horizontal="center" vertical="center"/>
    </xf>
    <xf numFmtId="0" fontId="0" fillId="0" borderId="11" xfId="0" applyBorder="1">
      <alignment vertical="center"/>
    </xf>
    <xf numFmtId="0" fontId="0" fillId="0" borderId="0" xfId="0" applyBorder="1">
      <alignment vertical="center"/>
    </xf>
    <xf numFmtId="0" fontId="4" fillId="0" borderId="0" xfId="0" applyFont="1" applyFill="1" applyBorder="1" applyAlignment="1">
      <alignment vertical="center"/>
    </xf>
    <xf numFmtId="0" fontId="0" fillId="0" borderId="12" xfId="0" applyBorder="1">
      <alignment vertical="center"/>
    </xf>
    <xf numFmtId="0" fontId="11" fillId="0" borderId="0" xfId="0" applyFont="1" applyFill="1" applyBorder="1" applyAlignment="1">
      <alignment horizontal="left" vertical="center" wrapText="1"/>
    </xf>
    <xf numFmtId="178" fontId="0" fillId="0" borderId="10" xfId="0" applyNumberFormat="1" applyBorder="1">
      <alignment vertical="center"/>
    </xf>
    <xf numFmtId="179" fontId="0" fillId="0" borderId="11" xfId="0" applyNumberFormat="1" applyBorder="1">
      <alignment vertical="center"/>
    </xf>
    <xf numFmtId="179" fontId="0" fillId="0" borderId="0" xfId="0" applyNumberFormat="1" applyBorder="1">
      <alignment vertical="center"/>
    </xf>
    <xf numFmtId="0" fontId="11" fillId="0" borderId="0" xfId="0" applyFont="1" applyFill="1" applyBorder="1" applyAlignment="1">
      <alignment vertical="center" wrapText="1"/>
    </xf>
    <xf numFmtId="176" fontId="0" fillId="2" borderId="0" xfId="0" applyNumberFormat="1" applyFont="1" applyFill="1" applyBorder="1" applyProtection="1">
      <alignment vertical="center"/>
      <protection locked="0"/>
    </xf>
    <xf numFmtId="176" fontId="0" fillId="0" borderId="0" xfId="0" applyNumberFormat="1" applyBorder="1">
      <alignment vertical="center"/>
    </xf>
    <xf numFmtId="176" fontId="0" fillId="0" borderId="0" xfId="0" applyNumberFormat="1">
      <alignment vertical="center"/>
    </xf>
    <xf numFmtId="176" fontId="0" fillId="0" borderId="12" xfId="0" applyNumberFormat="1" applyBorder="1">
      <alignment vertical="center"/>
    </xf>
    <xf numFmtId="178" fontId="0" fillId="0" borderId="11" xfId="0" applyNumberFormat="1" applyBorder="1">
      <alignment vertical="center"/>
    </xf>
    <xf numFmtId="0" fontId="0" fillId="0" borderId="13" xfId="0" applyBorder="1">
      <alignment vertical="center"/>
    </xf>
    <xf numFmtId="0" fontId="0" fillId="0" borderId="14" xfId="0" applyBorder="1">
      <alignment vertical="center"/>
    </xf>
    <xf numFmtId="0" fontId="0" fillId="2" borderId="0" xfId="0" applyFill="1">
      <alignment vertical="center"/>
    </xf>
    <xf numFmtId="0" fontId="0" fillId="3" borderId="0" xfId="0" applyFill="1">
      <alignment vertical="center"/>
    </xf>
    <xf numFmtId="0" fontId="0" fillId="0" borderId="15" xfId="0" applyBorder="1">
      <alignment vertical="center"/>
    </xf>
    <xf numFmtId="0" fontId="12" fillId="0" borderId="16" xfId="0" applyFont="1" applyFill="1" applyBorder="1" applyAlignment="1" applyProtection="1">
      <alignment horizontal="center" vertical="center"/>
      <protection locked="0"/>
    </xf>
    <xf numFmtId="0" fontId="5" fillId="0" borderId="17" xfId="0" applyFont="1" applyBorder="1">
      <alignment vertical="center"/>
    </xf>
    <xf numFmtId="0" fontId="0" fillId="0" borderId="18" xfId="0" applyBorder="1">
      <alignment vertical="center"/>
    </xf>
    <xf numFmtId="176" fontId="0" fillId="0" borderId="4" xfId="0" applyNumberFormat="1" applyBorder="1">
      <alignment vertical="center"/>
    </xf>
    <xf numFmtId="176" fontId="0" fillId="0" borderId="19" xfId="0" applyNumberFormat="1" applyBorder="1">
      <alignment vertical="center"/>
    </xf>
    <xf numFmtId="176" fontId="0" fillId="0" borderId="11" xfId="0" applyNumberFormat="1" applyBorder="1">
      <alignment vertical="center"/>
    </xf>
    <xf numFmtId="0" fontId="0" fillId="0" borderId="20" xfId="0" applyBorder="1">
      <alignment vertical="center"/>
    </xf>
    <xf numFmtId="178" fontId="0" fillId="0" borderId="0" xfId="0" applyNumberFormat="1">
      <alignment vertical="center"/>
    </xf>
    <xf numFmtId="180" fontId="0" fillId="0" borderId="0" xfId="0" applyNumberFormat="1">
      <alignment vertical="center"/>
    </xf>
    <xf numFmtId="0" fontId="0" fillId="0" borderId="21" xfId="0" applyBorder="1">
      <alignment vertical="center"/>
    </xf>
    <xf numFmtId="0" fontId="0" fillId="0" borderId="22" xfId="0" applyFill="1" applyBorder="1">
      <alignment vertical="center"/>
    </xf>
    <xf numFmtId="180" fontId="0" fillId="0" borderId="22" xfId="0" applyNumberFormat="1" applyBorder="1">
      <alignment vertical="center"/>
    </xf>
    <xf numFmtId="180" fontId="0" fillId="0" borderId="23" xfId="0" applyNumberFormat="1" applyBorder="1">
      <alignment vertical="center"/>
    </xf>
    <xf numFmtId="181" fontId="0" fillId="0" borderId="22" xfId="0" applyNumberFormat="1" applyBorder="1" applyAlignment="1">
      <alignment vertical="center" shrinkToFit="1"/>
    </xf>
    <xf numFmtId="0" fontId="0" fillId="0" borderId="22" xfId="0" applyBorder="1">
      <alignment vertical="center"/>
    </xf>
    <xf numFmtId="0" fontId="0" fillId="0" borderId="23" xfId="0" applyFill="1" applyBorder="1">
      <alignment vertical="center"/>
    </xf>
    <xf numFmtId="0" fontId="0" fillId="0" borderId="24" xfId="0" applyFill="1" applyBorder="1">
      <alignment vertical="center"/>
    </xf>
    <xf numFmtId="178" fontId="0" fillId="0" borderId="0" xfId="0" applyNumberFormat="1" applyAlignment="1">
      <alignment horizontal="right" vertical="center"/>
    </xf>
    <xf numFmtId="178" fontId="0" fillId="0" borderId="0" xfId="0" applyNumberFormat="1" applyBorder="1">
      <alignment vertical="center"/>
    </xf>
    <xf numFmtId="178" fontId="0" fillId="0" borderId="25" xfId="0" applyNumberFormat="1" applyBorder="1">
      <alignment vertical="center"/>
    </xf>
    <xf numFmtId="178" fontId="0" fillId="0" borderId="26" xfId="0" applyNumberFormat="1" applyBorder="1">
      <alignment vertical="center"/>
    </xf>
    <xf numFmtId="178" fontId="0" fillId="0" borderId="27" xfId="0" applyNumberFormat="1" applyBorder="1">
      <alignment vertical="center"/>
    </xf>
    <xf numFmtId="178" fontId="0" fillId="0" borderId="28" xfId="0" applyNumberFormat="1" applyBorder="1">
      <alignment vertical="center"/>
    </xf>
    <xf numFmtId="49" fontId="0" fillId="0" borderId="0" xfId="0" applyNumberFormat="1" applyAlignment="1">
      <alignment vertical="center" shrinkToFit="1"/>
    </xf>
    <xf numFmtId="180" fontId="0" fillId="0" borderId="0" xfId="0" applyNumberFormat="1" applyBorder="1">
      <alignment vertical="center"/>
    </xf>
    <xf numFmtId="178" fontId="0" fillId="0" borderId="29" xfId="0" applyNumberFormat="1" applyBorder="1">
      <alignment vertical="center"/>
    </xf>
    <xf numFmtId="178" fontId="0" fillId="0" borderId="0" xfId="0" applyNumberFormat="1" applyAlignment="1">
      <alignment vertical="center" shrinkToFit="1"/>
    </xf>
    <xf numFmtId="178" fontId="0" fillId="0" borderId="0" xfId="0" applyNumberFormat="1" applyBorder="1" applyProtection="1">
      <alignment vertical="center"/>
      <protection locked="0"/>
    </xf>
    <xf numFmtId="178" fontId="0" fillId="0" borderId="0" xfId="0" applyNumberFormat="1" applyBorder="1" applyProtection="1">
      <alignment vertical="center"/>
    </xf>
    <xf numFmtId="0" fontId="0" fillId="0" borderId="0" xfId="0" applyProtection="1">
      <alignment vertical="center"/>
      <protection locked="0"/>
    </xf>
    <xf numFmtId="0" fontId="4" fillId="0" borderId="0" xfId="0" applyFont="1" applyAlignment="1" applyProtection="1">
      <protection locked="0"/>
    </xf>
    <xf numFmtId="38" fontId="14" fillId="0" borderId="0" xfId="1" applyFont="1" applyFill="1" applyBorder="1" applyAlignment="1" applyProtection="1">
      <protection locked="0"/>
    </xf>
    <xf numFmtId="38" fontId="14" fillId="0" borderId="0" xfId="1" applyFont="1" applyBorder="1" applyAlignment="1" applyProtection="1">
      <alignment readingOrder="1"/>
      <protection locked="0"/>
    </xf>
    <xf numFmtId="38" fontId="14" fillId="0" borderId="0" xfId="1" applyFont="1" applyBorder="1" applyAlignment="1" applyProtection="1">
      <alignment horizontal="center" readingOrder="1"/>
      <protection locked="0"/>
    </xf>
    <xf numFmtId="178" fontId="0" fillId="0" borderId="30" xfId="0" applyNumberFormat="1" applyBorder="1">
      <alignment vertical="center"/>
    </xf>
    <xf numFmtId="178" fontId="0" fillId="0" borderId="31" xfId="0" applyNumberFormat="1" applyBorder="1">
      <alignment vertical="center"/>
    </xf>
    <xf numFmtId="178" fontId="0" fillId="0" borderId="32" xfId="0" applyNumberFormat="1" applyBorder="1">
      <alignment vertical="center"/>
    </xf>
    <xf numFmtId="0" fontId="4" fillId="0" borderId="0" xfId="0" applyFont="1" applyAlignment="1" applyProtection="1"/>
    <xf numFmtId="0" fontId="14" fillId="0" borderId="33" xfId="0" applyFont="1" applyBorder="1" applyAlignment="1" applyProtection="1">
      <alignment horizontal="center" vertical="top" textRotation="255" wrapText="1"/>
    </xf>
    <xf numFmtId="0" fontId="14" fillId="0" borderId="34" xfId="0" applyFont="1" applyBorder="1" applyAlignment="1" applyProtection="1">
      <alignment horizontal="center" vertical="top" textRotation="255" wrapText="1"/>
    </xf>
    <xf numFmtId="0" fontId="14" fillId="0" borderId="35" xfId="0" applyFont="1" applyBorder="1" applyAlignment="1" applyProtection="1">
      <alignment horizontal="center" vertical="top" textRotation="255" wrapText="1"/>
    </xf>
    <xf numFmtId="0" fontId="14" fillId="0" borderId="36" xfId="0" applyFont="1" applyBorder="1" applyAlignment="1" applyProtection="1">
      <alignment horizontal="center" vertical="top" textRotation="255" wrapText="1"/>
    </xf>
    <xf numFmtId="0" fontId="14" fillId="0" borderId="32" xfId="0" applyFont="1" applyBorder="1" applyAlignment="1" applyProtection="1">
      <alignment horizontal="center" vertical="top" textRotation="255" wrapText="1"/>
    </xf>
    <xf numFmtId="0" fontId="15" fillId="0" borderId="0" xfId="0" applyFont="1" applyBorder="1" applyAlignment="1" applyProtection="1">
      <alignment readingOrder="1"/>
      <protection locked="0"/>
    </xf>
    <xf numFmtId="178" fontId="0" fillId="0" borderId="37" xfId="0" applyNumberFormat="1" applyBorder="1">
      <alignment vertical="center"/>
    </xf>
    <xf numFmtId="178" fontId="0" fillId="0" borderId="38" xfId="0" applyNumberFormat="1" applyBorder="1">
      <alignment vertical="center"/>
    </xf>
    <xf numFmtId="178" fontId="0" fillId="0" borderId="39" xfId="0" applyNumberFormat="1" applyBorder="1">
      <alignment vertical="center"/>
    </xf>
    <xf numFmtId="178" fontId="0" fillId="0" borderId="40" xfId="0" applyNumberFormat="1" applyBorder="1">
      <alignment vertical="center"/>
    </xf>
    <xf numFmtId="178" fontId="0" fillId="0" borderId="41" xfId="0" applyNumberFormat="1" applyBorder="1">
      <alignment vertical="center"/>
    </xf>
    <xf numFmtId="0" fontId="16" fillId="0" borderId="33" xfId="0" applyFont="1" applyBorder="1" applyAlignment="1" applyProtection="1">
      <alignment horizontal="center" vertical="distributed" textRotation="255"/>
    </xf>
    <xf numFmtId="0" fontId="16" fillId="0" borderId="34" xfId="0" applyFont="1" applyBorder="1" applyAlignment="1" applyProtection="1">
      <alignment horizontal="center" vertical="distributed" textRotation="255"/>
    </xf>
    <xf numFmtId="0" fontId="16" fillId="0" borderId="35" xfId="0" applyFont="1" applyBorder="1" applyAlignment="1" applyProtection="1">
      <alignment horizontal="center" vertical="distributed" textRotation="255"/>
    </xf>
    <xf numFmtId="0" fontId="16" fillId="0" borderId="36" xfId="0" applyFont="1" applyBorder="1" applyAlignment="1" applyProtection="1">
      <alignment horizontal="center" vertical="center" textRotation="255" wrapText="1" shrinkToFit="1"/>
    </xf>
    <xf numFmtId="0" fontId="16" fillId="0" borderId="34" xfId="0" applyFont="1" applyBorder="1" applyAlignment="1" applyProtection="1">
      <alignment horizontal="center" vertical="center" textRotation="255" wrapText="1" shrinkToFit="1"/>
    </xf>
    <xf numFmtId="0" fontId="16" fillId="0" borderId="35" xfId="0" applyFont="1" applyBorder="1" applyAlignment="1" applyProtection="1">
      <alignment horizontal="center" vertical="center" textRotation="255" wrapText="1" shrinkToFit="1"/>
    </xf>
    <xf numFmtId="0" fontId="16" fillId="0" borderId="36" xfId="0" applyFont="1" applyBorder="1" applyAlignment="1" applyProtection="1">
      <alignment horizontal="center" vertical="distributed" textRotation="255" wrapText="1"/>
    </xf>
    <xf numFmtId="0" fontId="16" fillId="0" borderId="34" xfId="0" applyFont="1" applyBorder="1" applyAlignment="1" applyProtection="1">
      <alignment horizontal="center" vertical="distributed" textRotation="255" wrapText="1"/>
    </xf>
    <xf numFmtId="0" fontId="16" fillId="0" borderId="35" xfId="0" applyFont="1" applyBorder="1" applyAlignment="1" applyProtection="1">
      <alignment horizontal="center" vertical="distributed" textRotation="255" wrapText="1"/>
    </xf>
    <xf numFmtId="0" fontId="16" fillId="0" borderId="36" xfId="0" applyFont="1" applyBorder="1" applyAlignment="1" applyProtection="1">
      <alignment horizontal="center" vertical="center" textRotation="255" shrinkToFit="1"/>
    </xf>
    <xf numFmtId="0" fontId="16" fillId="0" borderId="34" xfId="0" applyFont="1" applyBorder="1" applyAlignment="1" applyProtection="1">
      <alignment horizontal="center" vertical="center" textRotation="255" shrinkToFit="1"/>
    </xf>
    <xf numFmtId="0" fontId="16" fillId="0" borderId="35" xfId="0" applyFont="1" applyBorder="1" applyAlignment="1" applyProtection="1">
      <alignment horizontal="center" vertical="center" textRotation="255" shrinkToFit="1"/>
    </xf>
    <xf numFmtId="0" fontId="16" fillId="0" borderId="32" xfId="0" applyFont="1" applyBorder="1" applyAlignment="1" applyProtection="1">
      <alignment horizontal="center" vertical="center" textRotation="255" shrinkToFit="1"/>
    </xf>
    <xf numFmtId="38" fontId="17" fillId="0" borderId="42" xfId="1" applyFont="1" applyBorder="1" applyAlignment="1" applyProtection="1">
      <alignment horizontal="center" vertical="center"/>
    </xf>
    <xf numFmtId="38" fontId="14" fillId="0" borderId="39" xfId="1" applyFont="1" applyBorder="1" applyProtection="1">
      <alignment vertical="center"/>
    </xf>
    <xf numFmtId="38" fontId="14" fillId="0" borderId="43" xfId="1" applyFont="1" applyFill="1" applyBorder="1" applyProtection="1">
      <alignment vertical="center"/>
    </xf>
    <xf numFmtId="178" fontId="0" fillId="0" borderId="44" xfId="0" applyNumberFormat="1" applyFont="1" applyBorder="1">
      <alignment vertical="center"/>
    </xf>
    <xf numFmtId="178" fontId="0" fillId="0" borderId="45" xfId="0" applyNumberFormat="1" applyBorder="1">
      <alignment vertical="center"/>
    </xf>
    <xf numFmtId="178" fontId="0" fillId="0" borderId="46" xfId="0" applyNumberFormat="1" applyBorder="1">
      <alignment vertical="center"/>
    </xf>
    <xf numFmtId="178" fontId="0" fillId="0" borderId="46" xfId="0" applyNumberFormat="1" applyBorder="1" applyProtection="1">
      <alignment vertical="center"/>
      <protection locked="0"/>
    </xf>
    <xf numFmtId="178" fontId="0" fillId="0" borderId="47" xfId="0" applyNumberFormat="1" applyBorder="1" applyProtection="1">
      <alignment vertical="center"/>
      <protection locked="0"/>
    </xf>
    <xf numFmtId="38" fontId="14" fillId="0" borderId="48" xfId="1" applyFont="1" applyFill="1" applyBorder="1" applyAlignment="1" applyProtection="1"/>
    <xf numFmtId="38" fontId="14" fillId="0" borderId="44" xfId="1" applyFont="1" applyBorder="1" applyAlignment="1" applyProtection="1"/>
    <xf numFmtId="38" fontId="14" fillId="0" borderId="49" xfId="1" applyFont="1" applyBorder="1" applyAlignment="1" applyProtection="1"/>
    <xf numFmtId="182" fontId="4" fillId="0" borderId="0" xfId="1" applyNumberFormat="1" applyFont="1" applyBorder="1" applyAlignment="1" applyProtection="1">
      <alignment readingOrder="1"/>
      <protection locked="0"/>
    </xf>
    <xf numFmtId="38" fontId="14" fillId="0" borderId="48" xfId="1" applyFont="1" applyBorder="1" applyAlignment="1" applyProtection="1">
      <alignment readingOrder="1"/>
      <protection locked="0"/>
    </xf>
    <xf numFmtId="183" fontId="14" fillId="0" borderId="46" xfId="1" applyNumberFormat="1" applyFont="1" applyFill="1" applyBorder="1" applyAlignment="1" applyProtection="1">
      <alignment readingOrder="1"/>
      <protection locked="0"/>
    </xf>
    <xf numFmtId="183" fontId="14" fillId="0" borderId="50" xfId="1" applyNumberFormat="1" applyFont="1" applyBorder="1" applyAlignment="1" applyProtection="1">
      <alignment readingOrder="1"/>
      <protection locked="0"/>
    </xf>
    <xf numFmtId="183" fontId="0" fillId="0" borderId="49" xfId="0" applyNumberFormat="1" applyBorder="1" applyAlignment="1" applyProtection="1">
      <alignment vertical="center" readingOrder="1"/>
      <protection locked="0"/>
    </xf>
    <xf numFmtId="183" fontId="0" fillId="0" borderId="0" xfId="0" applyNumberFormat="1" applyAlignment="1" applyProtection="1">
      <alignment vertical="center" readingOrder="1"/>
      <protection locked="0"/>
    </xf>
    <xf numFmtId="0" fontId="0" fillId="0" borderId="0" xfId="0" applyAlignment="1" applyProtection="1">
      <alignment vertical="center" readingOrder="1"/>
      <protection locked="0"/>
    </xf>
    <xf numFmtId="38" fontId="14" fillId="0" borderId="51" xfId="1" applyFont="1" applyBorder="1" applyAlignment="1" applyProtection="1"/>
    <xf numFmtId="38" fontId="17" fillId="0" borderId="52" xfId="1" applyFont="1" applyBorder="1" applyAlignment="1" applyProtection="1">
      <alignment horizontal="center" vertical="center"/>
    </xf>
    <xf numFmtId="38" fontId="14" fillId="0" borderId="8" xfId="1" applyFont="1" applyBorder="1" applyAlignment="1" applyProtection="1">
      <alignment horizontal="right"/>
    </xf>
    <xf numFmtId="38" fontId="14" fillId="0" borderId="53" xfId="1" applyFont="1" applyBorder="1" applyAlignment="1" applyProtection="1">
      <alignment horizontal="center"/>
    </xf>
    <xf numFmtId="178" fontId="0" fillId="0" borderId="54" xfId="0" applyNumberFormat="1" applyFont="1" applyBorder="1">
      <alignment vertical="center"/>
    </xf>
    <xf numFmtId="178" fontId="0" fillId="0" borderId="55" xfId="0" applyNumberFormat="1" applyBorder="1">
      <alignment vertical="center"/>
    </xf>
    <xf numFmtId="178" fontId="0" fillId="0" borderId="56" xfId="0" applyNumberFormat="1" applyBorder="1">
      <alignment vertical="center"/>
    </xf>
    <xf numFmtId="178" fontId="0" fillId="0" borderId="56" xfId="0" applyNumberFormat="1" applyBorder="1" applyProtection="1">
      <alignment vertical="center"/>
      <protection locked="0"/>
    </xf>
    <xf numFmtId="178" fontId="0" fillId="0" borderId="57" xfId="0" applyNumberFormat="1" applyBorder="1" applyProtection="1">
      <alignment vertical="center"/>
      <protection locked="0"/>
    </xf>
    <xf numFmtId="38" fontId="14" fillId="0" borderId="52" xfId="1" applyFont="1" applyBorder="1" applyAlignment="1" applyProtection="1"/>
    <xf numFmtId="38" fontId="14" fillId="0" borderId="54" xfId="1" applyFont="1" applyBorder="1" applyAlignment="1" applyProtection="1">
      <alignment horizontal="right"/>
    </xf>
    <xf numFmtId="38" fontId="14" fillId="0" borderId="54" xfId="1" applyFont="1" applyBorder="1" applyAlignment="1" applyProtection="1"/>
    <xf numFmtId="0" fontId="4" fillId="0" borderId="0" xfId="0" applyFont="1" applyAlignment="1" applyProtection="1">
      <alignment readingOrder="1"/>
      <protection locked="0"/>
    </xf>
    <xf numFmtId="38" fontId="14" fillId="0" borderId="58" xfId="1" applyFont="1" applyBorder="1" applyAlignment="1" applyProtection="1">
      <alignment horizontal="center" readingOrder="1"/>
      <protection locked="0"/>
    </xf>
    <xf numFmtId="183" fontId="14" fillId="0" borderId="59" xfId="1" applyNumberFormat="1" applyFont="1" applyBorder="1" applyAlignment="1" applyProtection="1">
      <alignment horizontal="center" readingOrder="1"/>
      <protection locked="0"/>
    </xf>
    <xf numFmtId="183" fontId="14" fillId="0" borderId="60" xfId="1" applyNumberFormat="1" applyFont="1" applyBorder="1" applyAlignment="1" applyProtection="1">
      <alignment horizontal="center" readingOrder="1"/>
      <protection locked="0"/>
    </xf>
    <xf numFmtId="183" fontId="14" fillId="0" borderId="56" xfId="1" applyNumberFormat="1" applyFont="1" applyBorder="1" applyAlignment="1" applyProtection="1">
      <alignment horizontal="center" readingOrder="1"/>
      <protection locked="0"/>
    </xf>
    <xf numFmtId="183" fontId="0" fillId="0" borderId="61" xfId="0" applyNumberFormat="1" applyBorder="1" applyAlignment="1" applyProtection="1">
      <alignment horizontal="center" vertical="center" readingOrder="1"/>
      <protection locked="0"/>
    </xf>
    <xf numFmtId="38" fontId="14" fillId="0" borderId="62" xfId="1" applyFont="1" applyBorder="1" applyAlignment="1" applyProtection="1">
      <alignment horizontal="center"/>
    </xf>
    <xf numFmtId="38" fontId="14" fillId="0" borderId="8" xfId="1" applyFont="1" applyBorder="1" applyAlignment="1" applyProtection="1"/>
    <xf numFmtId="38" fontId="14" fillId="0" borderId="8" xfId="1" applyFont="1" applyBorder="1" applyAlignment="1" applyProtection="1">
      <alignment horizontal="center"/>
    </xf>
    <xf numFmtId="0" fontId="14" fillId="0" borderId="45" xfId="0" applyFont="1" applyBorder="1" applyAlignment="1">
      <alignment horizontal="center" vertical="center"/>
    </xf>
    <xf numFmtId="38" fontId="14" fillId="0" borderId="46" xfId="1" applyFont="1" applyBorder="1" applyProtection="1">
      <alignment vertical="center"/>
    </xf>
    <xf numFmtId="0" fontId="14" fillId="0" borderId="63" xfId="0" applyFont="1" applyBorder="1">
      <alignment vertical="center"/>
    </xf>
    <xf numFmtId="0" fontId="15" fillId="0" borderId="45" xfId="0" applyFont="1" applyBorder="1" applyAlignment="1" applyProtection="1"/>
    <xf numFmtId="0" fontId="15" fillId="0" borderId="46" xfId="0" applyFont="1" applyBorder="1" applyAlignment="1" applyProtection="1"/>
    <xf numFmtId="0" fontId="0" fillId="0" borderId="44" xfId="0" applyBorder="1">
      <alignment vertical="center"/>
    </xf>
    <xf numFmtId="0" fontId="15" fillId="0" borderId="63" xfId="0" applyFont="1" applyBorder="1" applyAlignment="1" applyProtection="1"/>
    <xf numFmtId="183" fontId="15" fillId="0" borderId="45" xfId="0" applyNumberFormat="1" applyFont="1" applyBorder="1" applyAlignment="1" applyProtection="1"/>
    <xf numFmtId="183" fontId="15" fillId="0" borderId="46" xfId="0" applyNumberFormat="1" applyFont="1" applyBorder="1" applyAlignment="1" applyProtection="1"/>
    <xf numFmtId="183" fontId="15" fillId="0" borderId="50" xfId="0" applyNumberFormat="1" applyFont="1" applyBorder="1" applyAlignment="1" applyProtection="1"/>
    <xf numFmtId="183" fontId="15" fillId="0" borderId="63" xfId="0" applyNumberFormat="1" applyFont="1" applyBorder="1" applyAlignment="1" applyProtection="1"/>
    <xf numFmtId="0" fontId="14" fillId="0" borderId="0" xfId="0" applyFont="1" applyAlignment="1" applyProtection="1"/>
    <xf numFmtId="38" fontId="4" fillId="0" borderId="58" xfId="1" applyFont="1" applyBorder="1" applyAlignment="1" applyProtection="1"/>
    <xf numFmtId="38" fontId="4" fillId="0" borderId="59" xfId="1" applyFont="1" applyBorder="1" applyAlignment="1" applyProtection="1"/>
    <xf numFmtId="179" fontId="0" fillId="0" borderId="59" xfId="0" applyNumberFormat="1" applyBorder="1">
      <alignment vertical="center"/>
    </xf>
    <xf numFmtId="38" fontId="4" fillId="0" borderId="61" xfId="1" applyFont="1" applyBorder="1" applyAlignment="1" applyProtection="1"/>
    <xf numFmtId="0" fontId="15" fillId="0" borderId="33" xfId="0" applyFont="1" applyBorder="1" applyAlignment="1" applyProtection="1">
      <alignment readingOrder="1"/>
      <protection locked="0"/>
    </xf>
    <xf numFmtId="183" fontId="15" fillId="0" borderId="31" xfId="0" applyNumberFormat="1" applyFont="1" applyBorder="1" applyAlignment="1" applyProtection="1">
      <alignment readingOrder="1"/>
      <protection locked="0"/>
    </xf>
    <xf numFmtId="183" fontId="15" fillId="0" borderId="34" xfId="0" applyNumberFormat="1" applyFont="1" applyBorder="1" applyAlignment="1" applyProtection="1">
      <alignment readingOrder="1"/>
      <protection locked="0"/>
    </xf>
    <xf numFmtId="183" fontId="15" fillId="0" borderId="35" xfId="0" applyNumberFormat="1" applyFont="1" applyBorder="1" applyAlignment="1" applyProtection="1">
      <alignment readingOrder="1"/>
      <protection locked="0"/>
    </xf>
    <xf numFmtId="183" fontId="15" fillId="0" borderId="32" xfId="0" applyNumberFormat="1" applyFont="1" applyBorder="1" applyAlignment="1" applyProtection="1">
      <alignment readingOrder="1"/>
      <protection locked="0"/>
    </xf>
    <xf numFmtId="183" fontId="4" fillId="0" borderId="58" xfId="1" applyNumberFormat="1" applyFont="1" applyBorder="1" applyAlignment="1" applyProtection="1"/>
    <xf numFmtId="183" fontId="4" fillId="0" borderId="59" xfId="1" applyNumberFormat="1" applyFont="1" applyBorder="1" applyAlignment="1" applyProtection="1"/>
    <xf numFmtId="183" fontId="4" fillId="0" borderId="64" xfId="1" applyNumberFormat="1" applyFont="1" applyBorder="1" applyAlignment="1" applyProtection="1"/>
    <xf numFmtId="183" fontId="4" fillId="0" borderId="61" xfId="1" applyNumberFormat="1" applyFont="1" applyBorder="1" applyAlignment="1" applyProtection="1"/>
    <xf numFmtId="0" fontId="0" fillId="0" borderId="65" xfId="0" applyBorder="1">
      <alignment vertical="center"/>
    </xf>
    <xf numFmtId="183" fontId="4" fillId="0" borderId="66" xfId="1" applyNumberFormat="1" applyFont="1" applyBorder="1" applyAlignment="1" applyProtection="1">
      <alignment readingOrder="1"/>
      <protection locked="0"/>
    </xf>
    <xf numFmtId="183" fontId="4" fillId="0" borderId="46" xfId="1" applyNumberFormat="1" applyFont="1" applyBorder="1" applyAlignment="1" applyProtection="1">
      <alignment readingOrder="1"/>
      <protection locked="0"/>
    </xf>
    <xf numFmtId="183" fontId="4" fillId="0" borderId="67" xfId="1" applyNumberFormat="1" applyFont="1" applyBorder="1" applyAlignment="1" applyProtection="1">
      <alignment readingOrder="1"/>
      <protection locked="0"/>
    </xf>
    <xf numFmtId="183" fontId="4" fillId="0" borderId="50" xfId="1" applyNumberFormat="1" applyFont="1" applyBorder="1" applyAlignment="1" applyProtection="1">
      <alignment readingOrder="1"/>
      <protection locked="0"/>
    </xf>
    <xf numFmtId="182" fontId="4" fillId="0" borderId="47" xfId="1" applyNumberFormat="1" applyFont="1" applyBorder="1" applyAlignment="1" applyProtection="1">
      <alignment readingOrder="1"/>
      <protection locked="0"/>
    </xf>
    <xf numFmtId="0" fontId="4" fillId="0" borderId="29" xfId="0" applyFont="1" applyBorder="1" applyAlignment="1" applyProtection="1"/>
    <xf numFmtId="0" fontId="4" fillId="0" borderId="68" xfId="0" applyFont="1" applyBorder="1" applyAlignment="1" applyProtection="1">
      <alignment readingOrder="1"/>
      <protection locked="0"/>
    </xf>
    <xf numFmtId="0" fontId="4" fillId="0" borderId="59" xfId="0" applyFont="1" applyBorder="1" applyAlignment="1" applyProtection="1">
      <alignment readingOrder="1"/>
      <protection locked="0"/>
    </xf>
    <xf numFmtId="0" fontId="4" fillId="0" borderId="69" xfId="0" applyFont="1" applyBorder="1" applyAlignment="1" applyProtection="1">
      <alignment readingOrder="1"/>
      <protection locked="0"/>
    </xf>
    <xf numFmtId="0" fontId="4" fillId="0" borderId="64" xfId="0" applyFont="1" applyBorder="1" applyAlignment="1" applyProtection="1">
      <alignment readingOrder="1"/>
      <protection locked="0"/>
    </xf>
    <xf numFmtId="0" fontId="4" fillId="0" borderId="70" xfId="0" applyFont="1" applyBorder="1" applyAlignment="1" applyProtection="1">
      <alignment readingOrder="1"/>
      <protection locked="0"/>
    </xf>
    <xf numFmtId="0" fontId="0" fillId="0" borderId="0" xfId="0" applyNumberFormat="1" applyAlignment="1">
      <alignment vertical="center" shrinkToFit="1"/>
    </xf>
    <xf numFmtId="0" fontId="16" fillId="0" borderId="33" xfId="0" applyFont="1" applyBorder="1" applyAlignment="1" applyProtection="1">
      <alignment horizontal="center" vertical="distributed" textRotation="255" wrapText="1"/>
    </xf>
    <xf numFmtId="0" fontId="14" fillId="0" borderId="33" xfId="0" applyFont="1" applyBorder="1" applyAlignment="1" applyProtection="1">
      <alignment horizontal="center" vertical="top" textRotation="255"/>
    </xf>
    <xf numFmtId="0" fontId="14" fillId="0" borderId="34" xfId="0" applyFont="1" applyBorder="1" applyAlignment="1" applyProtection="1">
      <alignment horizontal="center" vertical="top" textRotation="255"/>
    </xf>
    <xf numFmtId="0" fontId="14" fillId="0" borderId="35" xfId="0" applyFont="1" applyBorder="1" applyAlignment="1" applyProtection="1">
      <alignment horizontal="center" vertical="top" textRotation="255"/>
    </xf>
    <xf numFmtId="0" fontId="0" fillId="0" borderId="71" xfId="0" applyBorder="1">
      <alignment vertical="center"/>
    </xf>
    <xf numFmtId="38" fontId="14" fillId="0" borderId="54" xfId="1" applyFont="1" applyBorder="1" applyAlignment="1" applyProtection="1">
      <alignment horizontal="center"/>
    </xf>
    <xf numFmtId="38" fontId="14" fillId="0" borderId="62" xfId="1" applyFont="1" applyBorder="1" applyAlignment="1" applyProtection="1"/>
    <xf numFmtId="38" fontId="14" fillId="0" borderId="72" xfId="1" applyFont="1" applyBorder="1" applyAlignment="1" applyProtection="1"/>
    <xf numFmtId="0" fontId="15" fillId="0" borderId="50" xfId="0" applyFont="1" applyBorder="1" applyAlignment="1" applyProtection="1"/>
    <xf numFmtId="0" fontId="0" fillId="0" borderId="73" xfId="0" applyBorder="1">
      <alignment vertical="center"/>
    </xf>
    <xf numFmtId="182" fontId="4" fillId="0" borderId="58" xfId="1" applyNumberFormat="1" applyFont="1" applyBorder="1" applyAlignment="1" applyProtection="1"/>
    <xf numFmtId="182" fontId="4" fillId="0" borderId="59" xfId="1" applyNumberFormat="1" applyFont="1" applyBorder="1" applyAlignment="1" applyProtection="1"/>
    <xf numFmtId="182" fontId="4" fillId="0" borderId="64" xfId="1" applyNumberFormat="1" applyFont="1" applyBorder="1" applyAlignment="1" applyProtection="1"/>
    <xf numFmtId="182" fontId="4" fillId="0" borderId="61" xfId="1" applyNumberFormat="1" applyFont="1" applyBorder="1" applyAlignment="1" applyProtection="1"/>
    <xf numFmtId="178" fontId="0" fillId="0" borderId="73" xfId="0" applyNumberFormat="1" applyBorder="1">
      <alignment vertical="center"/>
    </xf>
    <xf numFmtId="0" fontId="4" fillId="0" borderId="38" xfId="0" applyFont="1" applyBorder="1" applyAlignment="1" applyProtection="1"/>
    <xf numFmtId="0" fontId="4" fillId="0" borderId="0" xfId="0" applyFont="1" applyBorder="1" applyAlignment="1" applyProtection="1"/>
    <xf numFmtId="178" fontId="0" fillId="0" borderId="71" xfId="0" applyNumberFormat="1" applyBorder="1">
      <alignment vertical="center"/>
    </xf>
    <xf numFmtId="178" fontId="0" fillId="0" borderId="12" xfId="0" applyNumberFormat="1" applyBorder="1">
      <alignment vertical="center"/>
    </xf>
    <xf numFmtId="0" fontId="0" fillId="0" borderId="74" xfId="0" applyBorder="1">
      <alignment vertical="center"/>
    </xf>
    <xf numFmtId="0" fontId="0" fillId="0" borderId="75" xfId="0" applyBorder="1">
      <alignment vertical="center"/>
    </xf>
    <xf numFmtId="181" fontId="0" fillId="0" borderId="76" xfId="0" applyNumberFormat="1" applyBorder="1" applyAlignment="1">
      <alignment vertical="center" shrinkToFit="1"/>
    </xf>
    <xf numFmtId="178" fontId="0" fillId="0" borderId="13" xfId="0" applyNumberFormat="1" applyBorder="1">
      <alignment vertical="center"/>
    </xf>
    <xf numFmtId="178" fontId="0" fillId="0" borderId="9" xfId="0" applyNumberFormat="1" applyBorder="1">
      <alignment vertical="center"/>
    </xf>
    <xf numFmtId="178" fontId="0" fillId="0" borderId="14" xfId="0" applyNumberFormat="1" applyBorder="1">
      <alignment vertical="center"/>
    </xf>
    <xf numFmtId="180" fontId="0" fillId="0" borderId="12" xfId="0" applyNumberFormat="1" applyBorder="1">
      <alignment vertical="center"/>
    </xf>
    <xf numFmtId="178" fontId="0" fillId="0" borderId="74" xfId="0" applyNumberFormat="1" applyBorder="1">
      <alignment vertical="center"/>
    </xf>
    <xf numFmtId="178" fontId="0" fillId="0" borderId="75" xfId="0" applyNumberFormat="1" applyBorder="1">
      <alignment vertical="center"/>
    </xf>
    <xf numFmtId="178" fontId="0" fillId="0" borderId="76" xfId="0" applyNumberFormat="1" applyBorder="1">
      <alignment vertical="center"/>
    </xf>
    <xf numFmtId="178" fontId="0" fillId="0" borderId="77" xfId="0" applyNumberFormat="1" applyBorder="1">
      <alignment vertical="center"/>
    </xf>
    <xf numFmtId="181" fontId="0" fillId="0" borderId="0" xfId="0" applyNumberFormat="1" applyBorder="1" applyAlignment="1">
      <alignment vertical="center" shrinkToFit="1"/>
    </xf>
    <xf numFmtId="178" fontId="0" fillId="0" borderId="78" xfId="0" applyNumberFormat="1" applyBorder="1">
      <alignment vertical="center"/>
    </xf>
    <xf numFmtId="178" fontId="0" fillId="0" borderId="79" xfId="0" applyNumberFormat="1" applyBorder="1">
      <alignment vertical="center"/>
    </xf>
    <xf numFmtId="178" fontId="0" fillId="0" borderId="80" xfId="0" applyNumberFormat="1" applyBorder="1">
      <alignment vertical="center"/>
    </xf>
    <xf numFmtId="178" fontId="0" fillId="0" borderId="81" xfId="0" applyNumberFormat="1" applyBorder="1">
      <alignment vertical="center"/>
    </xf>
    <xf numFmtId="178" fontId="0" fillId="0" borderId="82" xfId="0" applyNumberFormat="1" applyBorder="1">
      <alignment vertical="center"/>
    </xf>
    <xf numFmtId="178" fontId="0" fillId="0" borderId="13" xfId="0" applyNumberFormat="1" applyBorder="1" applyProtection="1">
      <alignment vertical="center"/>
      <protection locked="0"/>
    </xf>
    <xf numFmtId="178" fontId="0" fillId="0" borderId="0" xfId="0" applyNumberFormat="1" applyProtection="1">
      <alignment vertical="center"/>
      <protection locked="0"/>
    </xf>
    <xf numFmtId="178" fontId="0" fillId="0" borderId="9" xfId="0" applyNumberFormat="1" applyBorder="1" applyProtection="1">
      <alignment vertical="center"/>
    </xf>
    <xf numFmtId="178" fontId="0" fillId="0" borderId="9" xfId="0" applyNumberFormat="1" applyBorder="1" applyProtection="1">
      <alignment vertical="center"/>
      <protection locked="0"/>
    </xf>
    <xf numFmtId="178" fontId="0" fillId="0" borderId="83" xfId="0" applyNumberFormat="1" applyBorder="1" applyProtection="1">
      <alignment vertical="center"/>
      <protection locked="0"/>
    </xf>
    <xf numFmtId="178" fontId="0" fillId="0" borderId="14" xfId="0" applyNumberFormat="1" applyBorder="1" applyProtection="1">
      <alignment vertical="center"/>
      <protection locked="0"/>
    </xf>
    <xf numFmtId="178" fontId="0" fillId="0" borderId="84" xfId="0" applyNumberFormat="1" applyBorder="1">
      <alignment vertical="center"/>
    </xf>
    <xf numFmtId="38" fontId="14" fillId="0" borderId="75" xfId="1" applyFont="1" applyBorder="1" applyAlignment="1" applyProtection="1">
      <alignment readingOrder="1"/>
      <protection locked="0"/>
    </xf>
    <xf numFmtId="184" fontId="0" fillId="0" borderId="0" xfId="0" applyNumberFormat="1" applyBorder="1">
      <alignment vertical="center"/>
    </xf>
    <xf numFmtId="178" fontId="0" fillId="0" borderId="85" xfId="0" applyNumberFormat="1" applyBorder="1">
      <alignment vertical="center"/>
    </xf>
    <xf numFmtId="178" fontId="0" fillId="0" borderId="86" xfId="0" applyNumberFormat="1" applyBorder="1">
      <alignment vertical="center"/>
    </xf>
    <xf numFmtId="178" fontId="0" fillId="0" borderId="87" xfId="0" applyNumberFormat="1" applyBorder="1">
      <alignment vertical="center"/>
    </xf>
    <xf numFmtId="178" fontId="0" fillId="0" borderId="88" xfId="0" applyNumberFormat="1" applyBorder="1">
      <alignment vertical="center"/>
    </xf>
    <xf numFmtId="178" fontId="0" fillId="0" borderId="89" xfId="0" applyNumberFormat="1" applyBorder="1">
      <alignment vertical="center"/>
    </xf>
    <xf numFmtId="178" fontId="0" fillId="0" borderId="90" xfId="0" applyNumberFormat="1" applyBorder="1">
      <alignment vertical="center"/>
    </xf>
    <xf numFmtId="178" fontId="0" fillId="0" borderId="91" xfId="0" applyNumberFormat="1" applyBorder="1">
      <alignment vertical="center"/>
    </xf>
    <xf numFmtId="178" fontId="0" fillId="0" borderId="92" xfId="0" applyNumberFormat="1" applyBorder="1" applyProtection="1">
      <alignment vertical="center"/>
      <protection locked="0"/>
    </xf>
    <xf numFmtId="178" fontId="0" fillId="0" borderId="93" xfId="0" applyNumberFormat="1" applyBorder="1" applyProtection="1">
      <alignment vertical="center"/>
    </xf>
    <xf numFmtId="178" fontId="0" fillId="0" borderId="93" xfId="0" applyNumberFormat="1" applyBorder="1" applyProtection="1">
      <alignment vertical="center"/>
      <protection locked="0"/>
    </xf>
    <xf numFmtId="178" fontId="0" fillId="0" borderId="93" xfId="0" applyNumberFormat="1" applyBorder="1">
      <alignment vertical="center"/>
    </xf>
    <xf numFmtId="178" fontId="0" fillId="0" borderId="94" xfId="0" applyNumberFormat="1" applyBorder="1" applyProtection="1">
      <alignment vertical="center"/>
      <protection locked="0"/>
    </xf>
    <xf numFmtId="178" fontId="0" fillId="0" borderId="95" xfId="0" applyNumberFormat="1" applyBorder="1" applyProtection="1">
      <alignment vertical="center"/>
      <protection locked="0"/>
    </xf>
    <xf numFmtId="178" fontId="0" fillId="0" borderId="96" xfId="0" applyNumberFormat="1" applyBorder="1">
      <alignment vertical="center"/>
    </xf>
  </cellXfs>
  <cellStyles count="2">
    <cellStyle name="標準" xfId="0" builtinId="0"/>
    <cellStyle name="桁区切り" xfId="1" builtinId="6"/>
  </cellStyles>
  <dxfs count="9">
    <dxf>
      <fill>
        <patternFill patternType="solid">
          <bgColor theme="9" tint="0.4"/>
        </patternFill>
      </fill>
    </dxf>
    <dxf>
      <fill>
        <patternFill patternType="solid">
          <bgColor rgb="FFFFFF9F"/>
        </patternFill>
      </fill>
    </dxf>
    <dxf>
      <font>
        <b/>
        <i val="0"/>
        <color rgb="FFFF0000"/>
      </font>
    </dxf>
    <dxf>
      <fill>
        <patternFill patternType="solid">
          <bgColor rgb="FFFF0000"/>
        </patternFill>
      </fill>
    </dxf>
    <dxf>
      <fill>
        <patternFill patternType="solid">
          <bgColor rgb="FFFF7575"/>
        </patternFill>
      </fill>
    </dxf>
    <dxf>
      <fill>
        <patternFill patternType="solid">
          <bgColor rgb="FFFF7575"/>
        </patternFill>
      </fill>
    </dxf>
    <dxf>
      <fill>
        <patternFill patternType="solid">
          <bgColor rgb="FFFF7575"/>
        </patternFill>
      </fill>
    </dxf>
    <dxf>
      <fill>
        <patternFill patternType="solid">
          <bgColor theme="9" tint="0.6"/>
        </patternFill>
      </fill>
    </dxf>
    <dxf>
      <fill>
        <patternFill patternType="solid">
          <bgColor rgb="FFFF7575"/>
        </patternFill>
      </fill>
      <border>
        <left/>
        <right/>
        <top/>
        <bottom/>
      </border>
    </dxf>
  </dxfs>
  <tableStyles count="0" defaultTableStyle="TableStyleMedium2" defaultPivotStyle="PivotStyleLight16"/>
  <colors>
    <mruColors>
      <color rgb="FFC6E0B4"/>
      <color rgb="FF808080"/>
      <color rgb="FFDFECF7"/>
      <color rgb="FFFF7575"/>
      <color rgb="FFFFFF9F"/>
      <color rgb="FFFF6600"/>
      <color rgb="FFFFFF99"/>
      <color rgb="FFFF8181"/>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20320</xdr:colOff>
      <xdr:row>44</xdr:row>
      <xdr:rowOff>18415</xdr:rowOff>
    </xdr:from>
    <xdr:to xmlns:xdr="http://schemas.openxmlformats.org/drawingml/2006/spreadsheetDrawing">
      <xdr:col>1</xdr:col>
      <xdr:colOff>67310</xdr:colOff>
      <xdr:row>48</xdr:row>
      <xdr:rowOff>228600</xdr:rowOff>
    </xdr:to>
    <xdr:sp macro="" textlink="">
      <xdr:nvSpPr>
        <xdr:cNvPr id="2" name="左大かっこ 1"/>
        <xdr:cNvSpPr/>
      </xdr:nvSpPr>
      <xdr:spPr>
        <a:xfrm>
          <a:off x="296545" y="9914890"/>
          <a:ext cx="46990" cy="1162685"/>
        </a:xfrm>
        <a:prstGeom prst="leftBracket">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7620</xdr:colOff>
      <xdr:row>44</xdr:row>
      <xdr:rowOff>15240</xdr:rowOff>
    </xdr:from>
    <xdr:to xmlns:xdr="http://schemas.openxmlformats.org/drawingml/2006/spreadsheetDrawing">
      <xdr:col>3</xdr:col>
      <xdr:colOff>66675</xdr:colOff>
      <xdr:row>48</xdr:row>
      <xdr:rowOff>219710</xdr:rowOff>
    </xdr:to>
    <xdr:sp macro="" textlink="">
      <xdr:nvSpPr>
        <xdr:cNvPr id="3" name="右大かっこ 2"/>
        <xdr:cNvSpPr/>
      </xdr:nvSpPr>
      <xdr:spPr>
        <a:xfrm>
          <a:off x="3522345" y="9911715"/>
          <a:ext cx="59055" cy="1156970"/>
        </a:xfrm>
        <a:prstGeom prst="rightBracket">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V57"/>
  <sheetViews>
    <sheetView tabSelected="1" workbookViewId="0">
      <selection activeCell="C6" sqref="C6"/>
    </sheetView>
  </sheetViews>
  <sheetFormatPr defaultRowHeight="13.5"/>
  <cols>
    <col min="1" max="1" width="3.625" style="1" customWidth="1"/>
    <col min="2" max="2" width="27.5" customWidth="1"/>
    <col min="3" max="3" width="15" customWidth="1"/>
    <col min="4" max="4" width="2.25" customWidth="1"/>
    <col min="5" max="5" width="3.125" customWidth="1"/>
    <col min="6" max="6" width="10.125" customWidth="1"/>
    <col min="7" max="7" width="14.625" customWidth="1"/>
    <col min="8" max="8" width="15" customWidth="1"/>
    <col min="9" max="10" width="15.375" customWidth="1"/>
    <col min="11" max="11" width="2.75" customWidth="1"/>
    <col min="12" max="12" width="21.25" customWidth="1"/>
    <col min="13" max="13" width="12.5" customWidth="1"/>
    <col min="14" max="15" width="2.75" customWidth="1"/>
    <col min="16" max="16" width="12.5" customWidth="1"/>
    <col min="17" max="17" width="6" customWidth="1"/>
    <col min="18" max="18" width="12.5" customWidth="1"/>
    <col min="19" max="19" width="4.25" customWidth="1"/>
    <col min="23" max="23" width="7.5" customWidth="1"/>
  </cols>
  <sheetData>
    <row r="1" spans="1:20" ht="25.5" customHeight="1">
      <c r="B1" s="5" t="s">
        <v>271</v>
      </c>
      <c r="C1" s="5"/>
      <c r="D1" s="5"/>
      <c r="E1" s="5"/>
      <c r="F1" s="5"/>
      <c r="G1" s="5"/>
      <c r="H1" s="5"/>
      <c r="I1" s="5"/>
      <c r="J1" s="5"/>
      <c r="K1" s="56"/>
      <c r="L1" s="56"/>
    </row>
    <row r="2" spans="1:20">
      <c r="B2" s="6" t="s">
        <v>129</v>
      </c>
    </row>
    <row r="3" spans="1:20">
      <c r="B3" s="6"/>
    </row>
    <row r="4" spans="1:20" ht="21" customHeight="1">
      <c r="B4" s="7" t="s">
        <v>157</v>
      </c>
      <c r="C4" s="7"/>
    </row>
    <row r="5" spans="1:20" ht="13.5" customHeight="1">
      <c r="B5" s="8"/>
      <c r="C5" s="8" t="s">
        <v>158</v>
      </c>
      <c r="D5" s="8" t="s">
        <v>159</v>
      </c>
      <c r="E5" s="8"/>
      <c r="F5" s="8"/>
      <c r="L5" s="59" t="s">
        <v>214</v>
      </c>
      <c r="M5" s="59"/>
      <c r="N5" s="59"/>
    </row>
    <row r="6" spans="1:20" ht="18.75" customHeight="1">
      <c r="A6" s="1" t="s">
        <v>50</v>
      </c>
      <c r="B6" s="8" t="s">
        <v>47</v>
      </c>
      <c r="C6" s="16">
        <v>0</v>
      </c>
      <c r="D6" s="18">
        <f>計算!B2</f>
        <v>0</v>
      </c>
      <c r="E6" s="39"/>
      <c r="F6" s="39"/>
      <c r="J6" s="54"/>
      <c r="K6" s="57"/>
      <c r="L6" s="57"/>
      <c r="M6" s="64"/>
      <c r="N6" s="73"/>
      <c r="O6" s="51" t="s">
        <v>172</v>
      </c>
    </row>
    <row r="7" spans="1:20" ht="18.75" customHeight="1">
      <c r="A7" s="1"/>
      <c r="B7" s="9" t="s">
        <v>161</v>
      </c>
      <c r="C7" s="17">
        <v>0</v>
      </c>
      <c r="D7" s="39">
        <f>計算!B4</f>
        <v>0</v>
      </c>
      <c r="E7" s="39"/>
      <c r="F7" s="39"/>
      <c r="J7" s="53"/>
      <c r="K7" s="47"/>
      <c r="L7" s="60" t="s">
        <v>139</v>
      </c>
      <c r="M7" s="35">
        <f>ROUNDDOWN(IF(P23="〇",計算!I35,'計算 (2)'!I14),-3)</f>
        <v>0</v>
      </c>
      <c r="N7" s="54"/>
      <c r="R7" s="48"/>
      <c r="S7" s="48"/>
    </row>
    <row r="8" spans="1:20" ht="18.75" customHeight="1">
      <c r="A8" s="1"/>
      <c r="B8" s="10" t="s">
        <v>164</v>
      </c>
      <c r="C8" s="18"/>
      <c r="D8" s="16">
        <v>0</v>
      </c>
      <c r="E8" s="16"/>
      <c r="F8" s="16"/>
      <c r="J8" s="53"/>
      <c r="K8" s="47"/>
      <c r="L8" s="59"/>
      <c r="M8" s="65"/>
      <c r="N8" s="74"/>
      <c r="R8" s="48"/>
      <c r="S8" s="48"/>
    </row>
    <row r="9" spans="1:20" ht="18.75" customHeight="1">
      <c r="A9" s="1"/>
      <c r="B9" s="11" t="s">
        <v>162</v>
      </c>
      <c r="C9" s="19">
        <v>0</v>
      </c>
      <c r="D9" s="40">
        <v>0</v>
      </c>
      <c r="E9" s="40"/>
      <c r="F9" s="40"/>
      <c r="G9" s="51" t="s">
        <v>218</v>
      </c>
      <c r="J9" s="48"/>
      <c r="K9" s="58"/>
      <c r="L9" t="s">
        <v>118</v>
      </c>
      <c r="M9" s="66"/>
      <c r="O9" s="67"/>
      <c r="R9" s="48"/>
      <c r="S9" s="48"/>
    </row>
    <row r="10" spans="1:20" ht="16.5" customHeight="1">
      <c r="A10" s="1"/>
      <c r="B10" s="1" t="s">
        <v>66</v>
      </c>
      <c r="C10" s="1" t="s">
        <v>186</v>
      </c>
      <c r="D10" s="41"/>
      <c r="E10" s="41"/>
      <c r="F10" s="41"/>
      <c r="G10" s="51" t="s">
        <v>229</v>
      </c>
      <c r="L10" t="s">
        <v>251</v>
      </c>
      <c r="M10" s="66"/>
      <c r="O10" s="67"/>
    </row>
    <row r="11" spans="1:20" ht="12.75" customHeight="1">
      <c r="D11" s="42" t="str">
        <f>計算!H45</f>
        <v/>
      </c>
      <c r="L11" t="s">
        <v>261</v>
      </c>
      <c r="M11" s="67"/>
      <c r="N11" s="67"/>
      <c r="O11" s="67"/>
    </row>
    <row r="12" spans="1:20" ht="21" customHeight="1">
      <c r="B12" s="7" t="s">
        <v>94</v>
      </c>
      <c r="C12" s="7"/>
      <c r="E12" s="47"/>
      <c r="I12" s="47"/>
      <c r="L12" s="61" t="s">
        <v>252</v>
      </c>
      <c r="M12" s="67"/>
      <c r="N12" s="67"/>
      <c r="O12" s="67"/>
    </row>
    <row r="13" spans="1:20" ht="18.75" customHeight="1">
      <c r="B13" s="12" t="s">
        <v>67</v>
      </c>
      <c r="E13" s="47"/>
      <c r="I13" s="47"/>
    </row>
    <row r="14" spans="1:20" ht="18.75" customHeight="1">
      <c r="A14" s="1" t="s">
        <v>9</v>
      </c>
      <c r="B14" s="13" t="s">
        <v>51</v>
      </c>
      <c r="C14" s="20" t="s">
        <v>31</v>
      </c>
      <c r="E14" s="48"/>
      <c r="I14" s="48"/>
    </row>
    <row r="15" spans="1:20" ht="13.5" customHeight="1">
      <c r="A15" s="1"/>
      <c r="B15" s="8"/>
      <c r="C15" s="8" t="s">
        <v>158</v>
      </c>
      <c r="D15" s="8" t="s">
        <v>159</v>
      </c>
      <c r="E15" s="8"/>
      <c r="F15" s="8"/>
      <c r="H15" s="48"/>
      <c r="K15" s="59"/>
      <c r="L15" s="59" t="s">
        <v>260</v>
      </c>
      <c r="M15" s="59"/>
      <c r="T15" s="48"/>
    </row>
    <row r="16" spans="1:20" ht="18.75" customHeight="1">
      <c r="A16" s="1"/>
      <c r="B16" s="8" t="s">
        <v>47</v>
      </c>
      <c r="C16" s="16">
        <v>0</v>
      </c>
      <c r="D16" s="43">
        <f>計算!B9</f>
        <v>0</v>
      </c>
      <c r="E16" s="43"/>
      <c r="F16" s="43"/>
      <c r="H16" s="48"/>
      <c r="J16" s="54"/>
      <c r="L16" s="57"/>
      <c r="M16" s="64"/>
      <c r="N16" s="73"/>
      <c r="P16" s="75"/>
      <c r="Q16" s="51" t="s">
        <v>188</v>
      </c>
      <c r="T16" s="48"/>
    </row>
    <row r="17" spans="1:22" ht="18.75" customHeight="1">
      <c r="A17" s="1"/>
      <c r="B17" s="9" t="s">
        <v>161</v>
      </c>
      <c r="C17" s="17">
        <v>0</v>
      </c>
      <c r="D17" s="18">
        <f>計算!B11</f>
        <v>0</v>
      </c>
      <c r="E17" s="18"/>
      <c r="F17" s="18"/>
      <c r="H17" s="48"/>
      <c r="J17" s="54"/>
      <c r="L17" s="60" t="s">
        <v>56</v>
      </c>
      <c r="M17" s="68">
        <v>0</v>
      </c>
      <c r="N17" s="54"/>
      <c r="T17" s="48"/>
    </row>
    <row r="18" spans="1:22" ht="18.75" customHeight="1">
      <c r="A18" s="1"/>
      <c r="B18" s="9" t="s">
        <v>164</v>
      </c>
      <c r="C18" s="18"/>
      <c r="D18" s="40">
        <v>0</v>
      </c>
      <c r="E18" s="40"/>
      <c r="F18" s="40"/>
      <c r="J18" s="54"/>
      <c r="M18" s="69"/>
      <c r="N18" s="54"/>
      <c r="P18" s="76"/>
      <c r="Q18" s="51" t="s">
        <v>101</v>
      </c>
    </row>
    <row r="19" spans="1:22" ht="18.75" customHeight="1">
      <c r="A19" s="1"/>
      <c r="B19" s="1" t="s">
        <v>162</v>
      </c>
      <c r="C19" s="19">
        <v>0</v>
      </c>
      <c r="D19" s="44">
        <v>0</v>
      </c>
      <c r="E19" s="44"/>
      <c r="F19" s="44"/>
      <c r="G19" s="51" t="s">
        <v>218</v>
      </c>
      <c r="J19" s="54"/>
      <c r="L19" s="60" t="s">
        <v>262</v>
      </c>
      <c r="M19" s="70">
        <f>IF(P23="〇",計算!I27,'計算 (2)'!I6)</f>
        <v>0</v>
      </c>
      <c r="N19" s="54"/>
    </row>
    <row r="20" spans="1:22" ht="12.75" customHeight="1">
      <c r="G20" s="51" t="s">
        <v>229</v>
      </c>
      <c r="J20" s="54"/>
      <c r="L20" s="60" t="str">
        <f>IF(P23="〇","　住民税申告特例控除額","　所得税分寄附金控除額")</f>
        <v>　所得税分寄附金控除額</v>
      </c>
      <c r="M20" s="70">
        <f>IF(P23="〇",計算!I28,'計算 (2)'!I7)</f>
        <v>0</v>
      </c>
      <c r="N20" s="54"/>
    </row>
    <row r="21" spans="1:22" ht="18.75" customHeight="1">
      <c r="A21" s="2"/>
      <c r="B21" s="14" t="s">
        <v>163</v>
      </c>
      <c r="J21" s="54"/>
      <c r="L21" s="62" t="s">
        <v>185</v>
      </c>
      <c r="M21" s="71">
        <f>IF(P23="〇",計算!I29,'計算 (2)'!I8)</f>
        <v>0</v>
      </c>
      <c r="N21" s="54"/>
      <c r="P21" t="s">
        <v>88</v>
      </c>
    </row>
    <row r="22" spans="1:22" ht="18.75" customHeight="1">
      <c r="B22" t="s">
        <v>165</v>
      </c>
      <c r="C22" s="21" t="s">
        <v>127</v>
      </c>
      <c r="D22" s="42" t="str">
        <f>計算!H47</f>
        <v/>
      </c>
      <c r="J22" s="54"/>
      <c r="L22" s="60" t="s">
        <v>264</v>
      </c>
      <c r="M22" s="70">
        <f>IF(P23="〇",計算!I30,'計算 (2)'!I9)</f>
        <v>0</v>
      </c>
      <c r="N22" s="54"/>
      <c r="P22" s="77" t="s">
        <v>208</v>
      </c>
    </row>
    <row r="23" spans="1:22" ht="12.75" customHeight="1">
      <c r="J23" s="54"/>
      <c r="L23" s="59"/>
      <c r="M23" s="72"/>
      <c r="N23" s="74"/>
      <c r="P23" s="78"/>
      <c r="Q23" s="80"/>
    </row>
    <row r="24" spans="1:22" ht="18.75" customHeight="1">
      <c r="B24" s="14" t="s">
        <v>166</v>
      </c>
      <c r="C24" t="s">
        <v>187</v>
      </c>
      <c r="H24" t="s">
        <v>258</v>
      </c>
      <c r="K24" s="57"/>
      <c r="P24" s="79" t="str">
        <f>計算!H48</f>
        <v/>
      </c>
      <c r="R24" s="67"/>
      <c r="S24" s="67"/>
      <c r="T24" s="67"/>
    </row>
    <row r="25" spans="1:22" ht="18.75" customHeight="1">
      <c r="A25" s="1" t="s">
        <v>209</v>
      </c>
      <c r="B25" s="15" t="s">
        <v>259</v>
      </c>
      <c r="C25" s="22">
        <v>0</v>
      </c>
      <c r="L25" s="63" t="s">
        <v>86</v>
      </c>
      <c r="M25" s="63"/>
      <c r="N25" s="63"/>
      <c r="O25" s="63"/>
      <c r="P25" s="63"/>
      <c r="Q25" s="63"/>
      <c r="R25" s="63"/>
      <c r="S25" s="63"/>
      <c r="T25" s="63"/>
      <c r="V25" s="67"/>
    </row>
    <row r="26" spans="1:22" ht="18.75" customHeight="1">
      <c r="A26" s="1"/>
      <c r="B26" t="s">
        <v>167</v>
      </c>
      <c r="C26" s="23">
        <v>0</v>
      </c>
      <c r="L26" s="63"/>
      <c r="M26" s="63"/>
      <c r="N26" s="63"/>
      <c r="O26" s="63"/>
      <c r="P26" s="63"/>
      <c r="Q26" s="63"/>
      <c r="R26" s="63"/>
      <c r="S26" s="63"/>
      <c r="T26" s="63"/>
      <c r="V26" s="67"/>
    </row>
    <row r="27" spans="1:22" ht="18.75" customHeight="1">
      <c r="A27" s="1"/>
      <c r="B27" t="s">
        <v>246</v>
      </c>
      <c r="C27" s="24">
        <v>0</v>
      </c>
      <c r="L27" s="63"/>
      <c r="M27" s="63"/>
      <c r="N27" s="63"/>
      <c r="O27" s="63"/>
      <c r="P27" s="63"/>
      <c r="Q27" s="63"/>
      <c r="R27" s="63"/>
      <c r="S27" s="63"/>
      <c r="T27" s="63"/>
      <c r="V27" s="67"/>
    </row>
    <row r="28" spans="1:22" ht="18.75" customHeight="1">
      <c r="A28" s="1"/>
      <c r="B28" t="s">
        <v>247</v>
      </c>
      <c r="C28" s="25">
        <v>0</v>
      </c>
      <c r="J28" s="55" t="str">
        <f>計算!AB51</f>
        <v/>
      </c>
      <c r="L28" s="2" t="s">
        <v>254</v>
      </c>
      <c r="R28" s="67"/>
      <c r="S28" s="67"/>
      <c r="T28" s="67"/>
    </row>
    <row r="29" spans="1:22" ht="18.75" customHeight="1">
      <c r="A29" s="1"/>
      <c r="B29" t="s">
        <v>168</v>
      </c>
      <c r="C29" s="25">
        <v>0</v>
      </c>
      <c r="J29" s="55" t="str">
        <f>計算!AB59</f>
        <v/>
      </c>
      <c r="L29" s="2" t="s">
        <v>265</v>
      </c>
      <c r="P29" s="67"/>
      <c r="Q29" s="67"/>
      <c r="R29" s="67"/>
      <c r="S29" s="67"/>
      <c r="T29" s="67"/>
    </row>
    <row r="30" spans="1:22" ht="12.75" customHeight="1">
      <c r="A30" s="2"/>
      <c r="J30" s="55" t="str">
        <f>計算!AB67</f>
        <v/>
      </c>
      <c r="L30" s="2" t="s">
        <v>253</v>
      </c>
      <c r="M30" s="67"/>
      <c r="N30" s="67"/>
      <c r="O30" s="67"/>
      <c r="P30" s="67"/>
      <c r="Q30" s="67"/>
      <c r="R30" s="67"/>
      <c r="S30" s="67"/>
      <c r="T30" s="67"/>
      <c r="U30" s="67"/>
    </row>
    <row r="31" spans="1:22" ht="18.75" customHeight="1">
      <c r="B31" s="14" t="s">
        <v>108</v>
      </c>
      <c r="J31" s="55" t="str">
        <f>計算!AB75</f>
        <v/>
      </c>
      <c r="L31" s="61" t="s">
        <v>117</v>
      </c>
      <c r="M31" s="63"/>
      <c r="N31" s="63"/>
      <c r="O31" s="63"/>
      <c r="P31" s="63"/>
      <c r="Q31" s="63"/>
      <c r="R31" s="63"/>
      <c r="S31" s="63"/>
      <c r="T31" s="63"/>
      <c r="U31" s="67"/>
    </row>
    <row r="32" spans="1:22" ht="18.75" customHeight="1">
      <c r="A32" s="1" t="s">
        <v>211</v>
      </c>
      <c r="B32" t="s">
        <v>273</v>
      </c>
      <c r="C32" s="27">
        <f>計算!Z84</f>
        <v>0</v>
      </c>
      <c r="F32" t="s">
        <v>186</v>
      </c>
      <c r="G32" t="s">
        <v>5</v>
      </c>
      <c r="H32" t="s">
        <v>281</v>
      </c>
      <c r="I32" t="s">
        <v>282</v>
      </c>
      <c r="J32" s="55" t="str">
        <f>計算!AB83</f>
        <v/>
      </c>
      <c r="M32" s="63"/>
      <c r="N32" s="63"/>
      <c r="O32" s="63"/>
      <c r="P32" s="63"/>
      <c r="Q32" s="63"/>
      <c r="R32" s="63"/>
      <c r="S32" s="63"/>
      <c r="T32" s="63"/>
      <c r="U32" s="67"/>
    </row>
    <row r="33" spans="1:21" ht="18.75" customHeight="1">
      <c r="A33" s="1"/>
      <c r="B33" t="s">
        <v>275</v>
      </c>
      <c r="C33" s="26">
        <f>計算!Z85</f>
        <v>0</v>
      </c>
      <c r="E33">
        <v>1</v>
      </c>
      <c r="F33" s="49"/>
      <c r="G33" s="52">
        <v>0</v>
      </c>
      <c r="H33" s="52">
        <v>0</v>
      </c>
      <c r="I33" s="52">
        <v>0</v>
      </c>
      <c r="T33" s="63"/>
      <c r="U33" s="67"/>
    </row>
    <row r="34" spans="1:21" ht="18.75" customHeight="1">
      <c r="A34" s="1"/>
      <c r="B34" t="s">
        <v>175</v>
      </c>
      <c r="C34" s="28">
        <f>計算!Z86</f>
        <v>0</v>
      </c>
      <c r="E34">
        <v>2</v>
      </c>
      <c r="F34" s="49"/>
      <c r="G34" s="52">
        <v>0</v>
      </c>
      <c r="H34" s="52">
        <v>0</v>
      </c>
      <c r="I34" s="52">
        <v>0</v>
      </c>
      <c r="U34" s="67"/>
    </row>
    <row r="35" spans="1:21" ht="18.75" customHeight="1">
      <c r="A35" s="1"/>
      <c r="B35" t="s">
        <v>276</v>
      </c>
      <c r="C35" s="27">
        <f>計算!Z87</f>
        <v>0</v>
      </c>
      <c r="E35">
        <v>3</v>
      </c>
      <c r="F35" s="49"/>
      <c r="G35" s="52">
        <v>0</v>
      </c>
      <c r="H35" s="52">
        <v>0</v>
      </c>
      <c r="I35" s="52">
        <v>0</v>
      </c>
      <c r="U35" s="67"/>
    </row>
    <row r="36" spans="1:21" ht="18.75" customHeight="1">
      <c r="A36" s="1"/>
      <c r="B36" t="s">
        <v>257</v>
      </c>
      <c r="C36" s="28">
        <f>計算!Z88</f>
        <v>0</v>
      </c>
      <c r="E36">
        <v>4</v>
      </c>
      <c r="F36" s="49"/>
      <c r="G36" s="52">
        <v>0</v>
      </c>
      <c r="H36" s="52">
        <v>0</v>
      </c>
      <c r="I36" s="52">
        <v>0</v>
      </c>
      <c r="U36" s="63"/>
    </row>
    <row r="37" spans="1:21" ht="18.75" customHeight="1">
      <c r="A37" s="1"/>
      <c r="B37" t="s">
        <v>277</v>
      </c>
      <c r="C37" s="29">
        <f>計算!AA89</f>
        <v>0</v>
      </c>
      <c r="E37">
        <v>5</v>
      </c>
      <c r="F37" s="49"/>
      <c r="G37" s="52">
        <v>0</v>
      </c>
      <c r="H37" s="52">
        <v>0</v>
      </c>
      <c r="I37" s="52">
        <v>0</v>
      </c>
      <c r="U37" s="63"/>
    </row>
    <row r="38" spans="1:21" ht="12.75" customHeight="1">
      <c r="A38" s="2"/>
      <c r="G38" t="s">
        <v>182</v>
      </c>
      <c r="U38" s="63"/>
    </row>
    <row r="39" spans="1:21" ht="18.75" customHeight="1">
      <c r="B39" s="14" t="s">
        <v>171</v>
      </c>
    </row>
    <row r="40" spans="1:21" ht="18.75" customHeight="1">
      <c r="A40" s="3"/>
      <c r="B40" t="s">
        <v>173</v>
      </c>
      <c r="C40" s="21" t="s">
        <v>127</v>
      </c>
      <c r="L40" t="s">
        <v>203</v>
      </c>
    </row>
    <row r="41" spans="1:21" ht="12.75" customHeight="1">
      <c r="A41" s="3"/>
      <c r="J41" s="54"/>
      <c r="K41" s="57"/>
      <c r="L41" s="57"/>
      <c r="M41" s="57"/>
      <c r="N41" s="57"/>
      <c r="O41" s="57"/>
      <c r="P41" s="57"/>
      <c r="Q41" s="57"/>
      <c r="R41" s="57"/>
      <c r="S41" s="73"/>
    </row>
    <row r="42" spans="1:21" ht="21" customHeight="1">
      <c r="B42" s="7" t="s">
        <v>174</v>
      </c>
      <c r="C42" s="7"/>
      <c r="J42" s="54"/>
      <c r="L42" s="10" t="s">
        <v>266</v>
      </c>
      <c r="O42" s="60" t="s">
        <v>141</v>
      </c>
      <c r="R42" s="60" t="s">
        <v>160</v>
      </c>
      <c r="S42" s="54"/>
    </row>
    <row r="43" spans="1:21" ht="18.75" customHeight="1">
      <c r="A43" s="1" t="s">
        <v>21</v>
      </c>
      <c r="B43" t="s">
        <v>176</v>
      </c>
      <c r="C43" s="30">
        <v>0</v>
      </c>
      <c r="D43" s="45" t="s">
        <v>216</v>
      </c>
      <c r="J43" s="54"/>
      <c r="L43" s="10" t="s">
        <v>267</v>
      </c>
      <c r="M43" s="69">
        <f>計算!E61</f>
        <v>0</v>
      </c>
      <c r="N43" s="10" t="s">
        <v>138</v>
      </c>
      <c r="P43" s="43">
        <f>'計算 (3)'!B61</f>
        <v>0</v>
      </c>
      <c r="Q43" s="10" t="s">
        <v>26</v>
      </c>
      <c r="R43" s="69">
        <f>M43-P43</f>
        <v>0</v>
      </c>
      <c r="S43" s="54"/>
    </row>
    <row r="44" spans="1:21" ht="18.75" customHeight="1">
      <c r="B44" t="s">
        <v>177</v>
      </c>
      <c r="C44" s="31">
        <v>0</v>
      </c>
      <c r="J44" s="54"/>
      <c r="L44" s="10" t="s">
        <v>70</v>
      </c>
      <c r="M44" s="69">
        <f>計算!B54</f>
        <v>0</v>
      </c>
      <c r="N44" s="10" t="s">
        <v>138</v>
      </c>
      <c r="P44" s="43">
        <f>'計算 (3)'!B69</f>
        <v>0</v>
      </c>
      <c r="Q44" s="10" t="s">
        <v>26</v>
      </c>
      <c r="R44" s="81">
        <f>M44-P44</f>
        <v>0</v>
      </c>
      <c r="S44" s="54"/>
    </row>
    <row r="45" spans="1:21" ht="18.75" customHeight="1">
      <c r="A45" s="4" t="s">
        <v>96</v>
      </c>
      <c r="B45" t="s">
        <v>178</v>
      </c>
      <c r="C45" s="32">
        <v>0</v>
      </c>
      <c r="J45" s="54"/>
      <c r="R45" s="82">
        <f>R43+R44</f>
        <v>0</v>
      </c>
      <c r="S45" s="84"/>
    </row>
    <row r="46" spans="1:21" ht="18.75" customHeight="1">
      <c r="A46" s="4"/>
      <c r="B46" t="s">
        <v>179</v>
      </c>
      <c r="C46" s="33">
        <v>0</v>
      </c>
      <c r="J46" s="54"/>
      <c r="L46" s="59"/>
      <c r="M46" s="59" t="str">
        <f>IF(R46=0,"  （内　住宅借入金控除増減額分",IF(R46&gt;0,"     （内　住宅借入金控除増額分","     （内　住宅借入金控除減額分"))</f>
        <v xml:space="preserve">  （内　住宅借入金控除増減額分</v>
      </c>
      <c r="N46" s="59"/>
      <c r="O46" s="59"/>
      <c r="P46" s="59"/>
      <c r="Q46" s="59"/>
      <c r="R46" s="83">
        <f>'計算 (3)'!E60</f>
        <v>0</v>
      </c>
      <c r="S46" s="74" t="s">
        <v>256</v>
      </c>
    </row>
    <row r="47" spans="1:21" ht="18.75" customHeight="1">
      <c r="A47" s="4"/>
      <c r="B47" t="s">
        <v>180</v>
      </c>
      <c r="C47" s="31">
        <v>0</v>
      </c>
      <c r="K47" s="57"/>
    </row>
    <row r="48" spans="1:21" ht="18.75" customHeight="1">
      <c r="A48" s="4"/>
      <c r="B48" t="s">
        <v>181</v>
      </c>
      <c r="C48" s="32">
        <v>0</v>
      </c>
      <c r="D48" s="45" t="s">
        <v>199</v>
      </c>
    </row>
    <row r="49" spans="1:6" ht="18.75" customHeight="1">
      <c r="A49" s="4"/>
      <c r="B49" t="s">
        <v>195</v>
      </c>
      <c r="C49" s="32">
        <v>0</v>
      </c>
    </row>
    <row r="50" spans="1:6" ht="18.75" customHeight="1">
      <c r="A50" s="1" t="s">
        <v>210</v>
      </c>
      <c r="B50" t="s">
        <v>183</v>
      </c>
      <c r="C50" s="33">
        <v>0</v>
      </c>
      <c r="D50" s="45" t="s">
        <v>198</v>
      </c>
    </row>
    <row r="51" spans="1:6" ht="18.75" customHeight="1">
      <c r="B51" t="s">
        <v>169</v>
      </c>
      <c r="C51" s="31">
        <v>0</v>
      </c>
    </row>
    <row r="52" spans="1:6" ht="18.75" customHeight="1">
      <c r="B52" t="s">
        <v>184</v>
      </c>
      <c r="C52" s="32">
        <v>0</v>
      </c>
    </row>
    <row r="53" spans="1:6" ht="12.75" customHeight="1">
      <c r="C53" s="34"/>
    </row>
    <row r="54" spans="1:6" ht="18.75" customHeight="1">
      <c r="A54" s="1" t="s">
        <v>212</v>
      </c>
      <c r="B54" t="s">
        <v>226</v>
      </c>
      <c r="C54" s="35">
        <f>計算!F49</f>
        <v>950000</v>
      </c>
      <c r="D54" s="46" t="s">
        <v>228</v>
      </c>
    </row>
    <row r="55" spans="1:6" ht="12.75" customHeight="1">
      <c r="C55" s="36"/>
      <c r="D55" s="46" t="s">
        <v>227</v>
      </c>
    </row>
    <row r="56" spans="1:6" ht="18.75" customHeight="1">
      <c r="A56" s="1" t="s">
        <v>106</v>
      </c>
      <c r="B56" t="s">
        <v>196</v>
      </c>
      <c r="C56" s="37">
        <v>0</v>
      </c>
      <c r="D56" s="45" t="s">
        <v>270</v>
      </c>
    </row>
    <row r="57" spans="1:6" ht="18.75" customHeight="1">
      <c r="B57" t="s">
        <v>79</v>
      </c>
      <c r="C57" s="38" t="s">
        <v>213</v>
      </c>
      <c r="D57" s="38"/>
      <c r="E57" s="38"/>
      <c r="F57" s="50"/>
    </row>
    <row r="58" spans="1:6" ht="18.75" customHeight="1"/>
    <row r="59" spans="1:6" ht="18.75" customHeight="1"/>
  </sheetData>
  <sheetProtection password="E8D3" sheet="1" objects="1" scenarios="1" selectLockedCells="1"/>
  <mergeCells count="22">
    <mergeCell ref="B1:J1"/>
    <mergeCell ref="B4:C4"/>
    <mergeCell ref="D5:F5"/>
    <mergeCell ref="D6:F6"/>
    <mergeCell ref="D7:F7"/>
    <mergeCell ref="D8:F8"/>
    <mergeCell ref="D9:F9"/>
    <mergeCell ref="D10:F10"/>
    <mergeCell ref="B12:C12"/>
    <mergeCell ref="D15:F15"/>
    <mergeCell ref="D16:F16"/>
    <mergeCell ref="D17:F17"/>
    <mergeCell ref="D18:F18"/>
    <mergeCell ref="D19:F19"/>
    <mergeCell ref="B42:C42"/>
    <mergeCell ref="C57:E57"/>
    <mergeCell ref="A6:A10"/>
    <mergeCell ref="A14:A19"/>
    <mergeCell ref="A25:A29"/>
    <mergeCell ref="L25:T27"/>
    <mergeCell ref="A32:A37"/>
    <mergeCell ref="A45:A49"/>
  </mergeCells>
  <phoneticPr fontId="1"/>
  <conditionalFormatting sqref="C10">
    <cfRule type="expression" dxfId="8" priority="23">
      <formula>AND($C$7&gt;0,$D$10="")</formula>
    </cfRule>
  </conditionalFormatting>
  <conditionalFormatting sqref="D10">
    <cfRule type="expression" dxfId="7" priority="24">
      <formula>$C$7&gt;0</formula>
    </cfRule>
  </conditionalFormatting>
  <conditionalFormatting sqref="B57">
    <cfRule type="expression" dxfId="6" priority="4">
      <formula>AND($C$56&gt;0,$C$57="")</formula>
    </cfRule>
  </conditionalFormatting>
  <conditionalFormatting sqref="P23">
    <cfRule type="expression" dxfId="5" priority="25">
      <formula>$P$23="〇"</formula>
    </cfRule>
  </conditionalFormatting>
  <conditionalFormatting sqref="M19:M22">
    <cfRule type="expression" dxfId="4" priority="1">
      <formula>$P$24&lt;&gt;""</formula>
    </cfRule>
    <cfRule type="expression" dxfId="3" priority="29">
      <formula>#REF!&lt;&gt;""</formula>
    </cfRule>
  </conditionalFormatting>
  <conditionalFormatting sqref="L28:L31">
    <cfRule type="expression" dxfId="2" priority="3">
      <formula>$C$57&gt;0</formula>
    </cfRule>
  </conditionalFormatting>
  <conditionalFormatting sqref="K41:S46">
    <cfRule type="expression" dxfId="1" priority="2">
      <formula>$C$56&gt;0</formula>
    </cfRule>
  </conditionalFormatting>
  <conditionalFormatting sqref="C57">
    <cfRule type="expression" dxfId="0" priority="5">
      <formula>$C$56&gt;0</formula>
    </cfRule>
  </conditionalFormatting>
  <dataValidations count="8">
    <dataValidation type="list" allowBlank="1" showDropDown="0" showInputMessage="1" showErrorMessage="1" sqref="C14">
      <formula1>"  ,いない,いる（64歳以下）,いる（65歳以上69歳以下）,いる（70歳以上）"</formula1>
    </dataValidation>
    <dataValidation type="list" allowBlank="1" showDropDown="0" showInputMessage="1" showErrorMessage="1" sqref="C22">
      <formula1>"該当しない,寡婦,ひとり親（女性）,ひとり親（男性）"</formula1>
    </dataValidation>
    <dataValidation type="list" allowBlank="1" showDropDown="0" showInputMessage="1" showErrorMessage="1" error="該当する場合は&quot;1&quot;を入力してください。" sqref="C25 C27">
      <formula1>"0人,1人"</formula1>
    </dataValidation>
    <dataValidation type="list" allowBlank="1" showDropDown="0" showInputMessage="1" showErrorMessage="1" sqref="D10">
      <formula1>"64歳以下,65歳以上"</formula1>
    </dataValidation>
    <dataValidation type="list" allowBlank="1" showDropDown="0" showInputMessage="1" showErrorMessage="1" sqref="C40">
      <formula1>"該当する,該当しない"</formula1>
    </dataValidation>
    <dataValidation type="list" allowBlank="1" showDropDown="0" showInputMessage="1" showErrorMessage="1" sqref="C57">
      <formula1>"平成26年3月以前,平成26年4月以降,令和4年1月以降(契約は3年中),令和4年1月以降(4年中に契約)"</formula1>
    </dataValidation>
    <dataValidation type="list" allowBlank="1" showDropDown="0" showInputMessage="1" showErrorMessage="1" sqref="F33:F37">
      <formula1>"～15,16～18,19～22,23～64,65～69,70～(同居),70～(別居)"</formula1>
    </dataValidation>
    <dataValidation type="list" allowBlank="1" showDropDown="0" showInputMessage="1" showErrorMessage="1" sqref="P23">
      <formula1>"　,〇"</formula1>
    </dataValidation>
  </dataValidations>
  <pageMargins left="0.7" right="0.7" top="0.75" bottom="0.75" header="0.3" footer="0.3"/>
  <pageSetup paperSize="9" scale="51" fitToWidth="1" fitToHeight="1" orientation="landscape"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AC91"/>
  <sheetViews>
    <sheetView topLeftCell="A11" workbookViewId="0">
      <selection activeCell="F51" sqref="F51"/>
    </sheetView>
  </sheetViews>
  <sheetFormatPr defaultRowHeight="13.5"/>
  <cols>
    <col min="1" max="1" width="26.25" customWidth="1"/>
    <col min="2" max="2" width="12.125" style="85" bestFit="1" customWidth="1"/>
    <col min="3" max="3" width="13.25" customWidth="1"/>
    <col min="4" max="4" width="20.625" style="86" customWidth="1"/>
    <col min="5" max="5" width="11.375" style="85" customWidth="1"/>
    <col min="6" max="6" width="16.875" customWidth="1"/>
    <col min="7" max="7" width="16.625" customWidth="1"/>
    <col min="8" max="8" width="20.375" style="85" customWidth="1"/>
    <col min="9" max="9" width="14.75" style="85" customWidth="1"/>
    <col min="10" max="10" width="13.75" style="85" customWidth="1"/>
    <col min="11" max="11" width="12.625" customWidth="1"/>
    <col min="12" max="12" width="13.5" customWidth="1"/>
    <col min="13" max="13" width="11.875" customWidth="1"/>
    <col min="14" max="14" width="12.625" customWidth="1"/>
    <col min="15" max="15" width="13.125" customWidth="1"/>
    <col min="16" max="16" width="10.5" customWidth="1"/>
    <col min="17" max="17" width="14" customWidth="1"/>
    <col min="18" max="18" width="12.5" customWidth="1"/>
    <col min="19" max="19" width="11.125" customWidth="1"/>
    <col min="24" max="24" width="11.875" customWidth="1"/>
    <col min="25" max="25" width="10" bestFit="1" customWidth="1"/>
    <col min="28" max="28" width="11.875" customWidth="1"/>
  </cols>
  <sheetData>
    <row r="1" spans="1:29">
      <c r="A1" t="s">
        <v>5</v>
      </c>
      <c r="B1" s="95">
        <f>控除額!C6</f>
        <v>0</v>
      </c>
      <c r="C1" s="85"/>
      <c r="D1" s="85"/>
      <c r="F1" s="85"/>
      <c r="G1" s="85"/>
    </row>
    <row r="2" spans="1:29">
      <c r="A2" t="s">
        <v>12</v>
      </c>
      <c r="B2" s="85">
        <f>E6</f>
        <v>0</v>
      </c>
      <c r="C2" s="85"/>
      <c r="D2" s="85">
        <f>ROUNDDOWN(IF(B1&lt;=650999,0,IF(AND(B1&gt;=651000,B1&lt;=1899999),B1-650000,IF(AND(B1&gt;=1900000,B1&lt;=3599999),ROUNDDOWN(B1/4,-3)*2.8-80000,IF(AND(B1&gt;=3600000,B1&lt;=6599999),ROUNDDOWN(B1/4,-3)*3.2-440000,IF(AND(B1&gt;=6600000,B1&lt;=8499999),ROUNDDOWN(B1*0.9,0)-1100000,IF(B1&gt;=8500000,B1-1950000,0)))))),0)</f>
        <v>0</v>
      </c>
      <c r="F2" s="85"/>
      <c r="G2" s="85"/>
      <c r="H2" s="96"/>
      <c r="I2" s="96"/>
      <c r="J2" s="105"/>
    </row>
    <row r="3" spans="1:29">
      <c r="A3" t="s">
        <v>124</v>
      </c>
      <c r="B3" s="85">
        <f>控除額!C7</f>
        <v>0</v>
      </c>
      <c r="C3" s="85"/>
      <c r="D3" s="15" t="s">
        <v>128</v>
      </c>
      <c r="E3" s="85" t="str">
        <f>IF(控除額!D10="65歳以上","〇","")</f>
        <v/>
      </c>
      <c r="F3" s="85">
        <f>IF(B3&lt;3300000,1100000,IF(AND(B3&gt;=3300000,B3&lt;4100000),B3*0.25+275000,IF(AND(B3&gt;=4100000,B3&lt;7700000),B3*0.15+685000,IF(AND(B3&gt;=7700000,B3&lt;10000000),B3*0.05+1455000,IF(B3&gt;=10000000,1955000,0)))))</f>
        <v>1100000</v>
      </c>
      <c r="G3" s="85"/>
      <c r="H3" s="96"/>
      <c r="I3" s="96"/>
      <c r="J3" s="105"/>
    </row>
    <row r="4" spans="1:29">
      <c r="A4" t="s">
        <v>125</v>
      </c>
      <c r="B4" s="85">
        <f>MAX(IF(E3="〇",B3-F3,IF(E4="〇",B3-F4)),0)</f>
        <v>0</v>
      </c>
      <c r="C4" s="85"/>
      <c r="D4" s="15" t="s">
        <v>7</v>
      </c>
      <c r="E4" s="85" t="str">
        <f>IF(控除額!D10="64歳以下","〇","")</f>
        <v/>
      </c>
      <c r="F4" s="85">
        <f>IF(B3&lt;1300000,600000,IF(AND(B3&gt;=1300000,B3&lt;4100000),B3*0.25+275000,IF(AND(B3&gt;=4100000,B3&lt;7700000),B3*0.15+685000,IF(AND(B3&gt;=7700000,B3&lt;10000000),B3*0.05+1455000,IF(B3&gt;=10000000,1955000)))))</f>
        <v>600000</v>
      </c>
      <c r="G4" s="85"/>
      <c r="H4" s="96"/>
      <c r="I4" s="96"/>
      <c r="J4" s="106"/>
    </row>
    <row r="5" spans="1:29" ht="14.25">
      <c r="A5" t="s">
        <v>230</v>
      </c>
      <c r="B5" s="85">
        <f>控除額!D8</f>
        <v>0</v>
      </c>
      <c r="C5" s="85"/>
      <c r="D5" s="15" t="s">
        <v>130</v>
      </c>
      <c r="E5" s="85">
        <f>MAX(IF(D2&gt;=100000,100000,D2)+IF(B4&gt;=100000,100000,B4)-100000,0)</f>
        <v>0</v>
      </c>
      <c r="F5" s="85">
        <f>IF(OR(B28&gt;0,B29&gt;0,B33+B32+B31&gt;0),(MIN(B1,10000000)-8500000)*0.1,0)</f>
        <v>0</v>
      </c>
      <c r="G5" s="85"/>
      <c r="H5" s="96"/>
      <c r="I5" s="96"/>
      <c r="J5" s="105"/>
      <c r="M5" t="s">
        <v>206</v>
      </c>
    </row>
    <row r="6" spans="1:29">
      <c r="A6" t="s">
        <v>69</v>
      </c>
      <c r="B6" s="85">
        <f>控除額!D9</f>
        <v>0</v>
      </c>
      <c r="C6" s="85"/>
      <c r="D6" s="15"/>
      <c r="E6" s="85">
        <f>IF(E5&gt;0,F6-E5,F6)</f>
        <v>0</v>
      </c>
      <c r="F6" s="85">
        <f>IF(F5&gt;0,D2-F5,D2)</f>
        <v>0</v>
      </c>
      <c r="G6" s="85"/>
      <c r="H6" s="96"/>
      <c r="I6" s="96"/>
      <c r="J6" s="96"/>
      <c r="M6" s="112">
        <v>0</v>
      </c>
      <c r="N6" s="144">
        <v>1950000</v>
      </c>
      <c r="O6" s="163" t="s">
        <v>201</v>
      </c>
    </row>
    <row r="7" spans="1:29">
      <c r="A7" t="s">
        <v>46</v>
      </c>
      <c r="B7" s="85">
        <f>B6+B4+B2+B5</f>
        <v>0</v>
      </c>
      <c r="C7" s="85"/>
      <c r="D7" s="15"/>
      <c r="F7" s="85" t="s">
        <v>55</v>
      </c>
      <c r="G7" s="85" t="s">
        <v>89</v>
      </c>
      <c r="H7" s="96"/>
      <c r="I7" s="96"/>
      <c r="J7" s="96"/>
      <c r="M7" s="113">
        <f>N6+1</f>
        <v>1950001</v>
      </c>
      <c r="N7" s="145">
        <v>3300000</v>
      </c>
      <c r="O7" s="164" t="s">
        <v>144</v>
      </c>
    </row>
    <row r="8" spans="1:29">
      <c r="A8" t="s">
        <v>4</v>
      </c>
      <c r="B8" s="85">
        <f>控除額!C16</f>
        <v>0</v>
      </c>
      <c r="C8" s="85"/>
      <c r="D8" s="15" t="s">
        <v>57</v>
      </c>
      <c r="E8" s="85">
        <f>IF(B7&gt;10000000,0,IF(OR(AND(B7&lt;=9000000,B14&lt;=480000,OR(B18="〇",B17="〇")),AND(B7&lt;=9000000,B14&gt;480000,B14&lt;=1000000)),330000,IF(OR(AND(B7&gt;9000000,B7&lt;=9500000,B14&lt;=480000,OR(B17="〇",B18="〇")),AND(B7&gt;9000000,B7&lt;=9500000,B14&gt;480000,B14&lt;=1000000)),220000,IF(OR(AND(B7&gt;9500000,B7&lt;=10000000,B14&lt;=480000,OR(B17="〇",B18="〇")),AND(B7&gt;9500000,B7&lt;=10000000,B14&gt;480000,B14&lt;=1000000)),110000,IF(AND(B7&lt;=9000000,B14&lt;=480000,B19="〇"),380000,IF(AND(B7&gt;9000000,B7&lt;=9500000,B14&lt;=480000,B19="〇"),260000,IF(AND(B7&gt;9500000,B7&lt;=10000000,B14&lt;=480000,B19="〇"),130000,IF(AND(B7&lt;=9000000,B14&gt;1000000,B14&lt;=1050000),310000,IF(AND(B7&gt;9000000,B7&lt;=9500000,B14&gt;1000000,B14&lt;=1050000),210000,IF(AND(B7&gt;9500000,B7&lt;=10000000,B14&gt;1000000,B14&lt;=1050000),110000,IF(AND(B7&lt;=9000000,B14&gt;1050000,B14&lt;=1100000),260000,IF(AND(B7&gt;9000000,B7&lt;=9500000,B14&gt;1050000,B14&lt;=1100000),180000,IF(AND(B7&gt;9500000,B7&lt;=10000000,B14&gt;1050000,B14&lt;=1100000),90000,IF(AND(B7&lt;=9000000,B14&gt;1100000,B14&lt;=1150000),210000,IF(AND(B7&gt;9000000,B7&lt;=9500000,B14&gt;1100000,B14&lt;=1150000),140000,IF(AND(B7&gt;9500000,B7&lt;=10000000,B14&gt;1100000,B14&lt;=1150000),70000,IF(AND(B7&lt;=9000000,B14&gt;1150000,B14&lt;=1200000),160000,IF(AND(B7&gt;9000000,B7&lt;=9500000,B14&gt;1150000,B14&lt;=1200000),110000,IF(AND(B7&gt;9500000,B7&lt;=10000000,B14&gt;1150000,B14&lt;=1200000),60000,IF(AND(B7&lt;=9000000,B14&gt;1200000,B14&lt;=1250000),110000,IF(AND(B7&gt;9000000,B7&lt;=9500000,B14&gt;1200000,B14&lt;=1250000),80000,IF(AND(B7&gt;9500000,B7&lt;=10000000,B14&gt;1200000,B14&lt;=1250000),40000,IF(AND(B7&lt;=9000000,B14&gt;1250000,B14&lt;=1300000),60000,IF(AND(B7&gt;9000000,B7&lt;=9500000,B14&gt;1250000,B14&lt;=1300000),40000,IF(AND(B7&gt;9500000,B7&lt;=10000000,B14&gt;1250000,B14&lt;=1300000),20000,IF(AND(B7&lt;=9000000,B14&gt;1300000,B14&lt;=1330000),30000,IF(AND(B7&gt;9000000,B7&lt;=9500000,B14&gt;130000,B14&lt;=1330000),20000,IF(AND(B7&gt;9500000,B7&lt;=10000000,B14&gt;1300000,B14&lt;=1330000),10000,0))))))))))))))))))))))))))))</f>
        <v>0</v>
      </c>
      <c r="F8" s="85">
        <f>IF(OR(AND(B7&lt;=9000000,B14&lt;=480000,OR(B17="〇",B18="〇")),AND(B7&lt;=9000000,B14&gt;480000,B14&lt;500000)),50000,IF(AND(B7&lt;=9000000,B14&lt;=480000,B19="〇"),100000,IF(AND(B7&lt;=9000000,B14&gt;=500000,B14&lt;550000),30000,IF(OR(AND(B7&gt;9000000,B7&lt;=9500000,B14&lt;=480000,OR(B17="〇",B18="〇")),AND(B7&gt;9000000,B7&lt;=9500000,B14&gt;480000,B14&lt;500000)),40000,IF(AND(B7&gt;9000000,B7&lt;=9500000,B14&lt;=480000,B19="〇"),60000,IF(AND(B7&gt;9000000,B7&lt;=9500000,B14&gt;=500000,B14&lt;550000),20000,IF(OR(AND(B7&gt;9500000,B7&lt;=10000000,B14&lt;=480000,OR(B17="〇",B18="〇")),AND(B7&gt;9500000,B7&lt;=10000000,B14&gt;480000,B14&lt;500000,B19="〇")),20000,IF(AND(B7&gt;9500000,B7&lt;=10000000,B14&gt;=500000,B14&lt;550000),10000,0))))))))</f>
        <v>0</v>
      </c>
      <c r="G8" s="85">
        <f>IF(B7&gt;10000000,0,IF(OR(AND(B7&lt;=9000000,B14&lt;=480000,OR(B18="〇",B17="〇")),AND(B7&lt;=9000000,B14&gt;480000,B14&lt;=950000)),380000,IF(OR(AND(B7&gt;9000000,B7&lt;=9500000,B14&lt;=480000,OR(B17="〇",B18="〇")),AND(B7&gt;9000000,B7&lt;=9500000,B14&gt;480000,B14&lt;=950000)),260000,IF(OR(AND(B7&gt;9500000,B7&lt;=10000000,B14&lt;=480000,OR(B17="〇",B18="〇")),AND(B7&gt;9500000,B7&lt;=10000000,B14&gt;480000,B14&lt;=950000)),130000,IF(AND(B7&lt;=9000000,B14&lt;=480000,B19="〇"),480000,IF(AND(B7&gt;9000000,B7&lt;=9500000,B14&lt;=480000,B19="〇"),320000,IF(AND(B7&gt;9500000,B7&lt;=10000000,B14&lt;=480000,B19="〇"),160000,IF(AND(B7&lt;=9000000,B14&gt;950000,B14&lt;=1000000),360000,IF(AND(B7&gt;9000000,B7&lt;=9500000,B14&gt;950000,B14&lt;=1000000),240000,IF(AND(B7&gt;9500000,B7&lt;=10000000,B14&gt;950000,B14&lt;=1000000),120000,IF(AND(B7&lt;=9000000,B14&gt;1000000,B14&lt;=1050000),310000,IF(AND(B7&gt;9000000,B7&lt;=9500000,B14&gt;1000000,B14&lt;=1050000),210000,IF(AND(B7&gt;9500000,B7&lt;=10000000,B14&gt;1000000,B14&lt;=1050000),110000,IF(AND(B7&lt;=9000000,B14&gt;1050000,B14&lt;=1100000),260000,IF(AND(B7&gt;9000000,B7&lt;=9500000,B14&gt;1050000,B14&lt;=1100000),180000,IF(AND(B7&gt;9500000,B7&lt;=10000000,B14&gt;1050000,B14&lt;=1100000),90000,IF(AND(B7&lt;=9000000,B14&gt;1100000,B14&lt;=1150000),210000,IF(AND(B7&gt;9000000,B7&lt;=9500000,B14&gt;1100000,B14&lt;=1150000),140000,IF(AND(B7&gt;9500000,B7&lt;=10000000,B14&gt;1100000,B14&lt;=1150000),70000,IF(AND(B7&lt;=9000000,B14&gt;1150000,B14&lt;=1200000),160000,IF(AND(B7&gt;9000000,B7&lt;=9500000,B14&gt;1150000,B14&lt;=1200000),110000,IF(AND(B7&gt;9500000,B7&lt;=10000000,B14&gt;1150000,B14&lt;=1200000),60000,IF(AND(B7&lt;=9000000,B14&gt;1200000,B14&lt;=1250000),110000,IF(AND(B7&gt;9000000,B7&lt;=9500000,B14&gt;1200000,B14&lt;=1250000),80000,IF(AND(B7&gt;9500000,B7&lt;=10000000,B14&gt;1200000,B14&lt;=1250000),40000,IF(AND(B7&lt;=9000000,B14&gt;1250000,B14&lt;=1300000),60000,IF(AND(B7&gt;9000000,B7&lt;=9500000,B14&gt;1250000,B14&lt;=1300000),40000,IF(AND(B7&gt;9500000,B7&lt;=10000000,B14&gt;1250000,B14&lt;=1300000),20000,IF(AND(B7&lt;=9000000,B14&gt;1300000,B14&lt;=1330000),30000,IF(AND(B7&gt;9000000,B7&lt;=9500000,B14&gt;130000,B14&lt;=1330000),20000,IF(AND(B7&gt;9500000,B7&lt;=10000000,B14&gt;1300000,B14&lt;=1330000),10000,0)))))))))))))))))))))))))))))))</f>
        <v>0</v>
      </c>
      <c r="H8" s="96"/>
      <c r="I8" s="96"/>
      <c r="J8" s="106"/>
      <c r="M8" s="113">
        <f>N7+1</f>
        <v>3300001</v>
      </c>
      <c r="N8" s="145">
        <v>6950000</v>
      </c>
      <c r="O8" s="164" t="s">
        <v>202</v>
      </c>
    </row>
    <row r="9" spans="1:29">
      <c r="A9" t="s">
        <v>241</v>
      </c>
      <c r="B9" s="85">
        <f>IF(D9&gt;0,C9-D9,C9)</f>
        <v>0</v>
      </c>
      <c r="C9" s="85">
        <f>ROUNDDOWN(IF(B8&lt;=650999,0,IF(AND(B8&gt;=651000,B8&lt;=1899999),B8-650000,IF(AND(B8&gt;=1900000,B8&lt;=3599999),ROUNDDOWN(B8/4,-3)*2.8-80000,IF(AND(B8&gt;=3600000,B8&lt;=6599999),ROUNDDOWN(B8/4,-3)*3.2-440000,IF(AND(B8&gt;=6600000,B8&lt;=8499999),ROUNDDOWN(B8*0.9,0)-1100000,IF(B8&gt;=8500000,B8-1950000,0)))))),0)</f>
        <v>0</v>
      </c>
      <c r="D9" s="15">
        <f>MAX(IF(C9&gt;=100000,100000,C9)+IF(B11&gt;=100000,100000,B11)-100000,0)</f>
        <v>0</v>
      </c>
      <c r="F9" s="85"/>
      <c r="G9" s="85"/>
      <c r="H9" s="96"/>
      <c r="I9" s="96"/>
      <c r="J9" s="105"/>
      <c r="K9" s="107"/>
      <c r="L9" s="107"/>
      <c r="M9" s="113">
        <f>N8+1</f>
        <v>6950001</v>
      </c>
      <c r="N9" s="146">
        <v>9000000</v>
      </c>
      <c r="O9" s="165" t="s">
        <v>204</v>
      </c>
      <c r="P9" s="107"/>
    </row>
    <row r="10" spans="1:29" ht="14.25">
      <c r="A10" t="s">
        <v>242</v>
      </c>
      <c r="B10" s="85">
        <f>控除額!C17</f>
        <v>0</v>
      </c>
      <c r="C10" s="85"/>
      <c r="D10" s="15"/>
      <c r="F10" s="85"/>
      <c r="G10" s="85"/>
      <c r="H10" s="96"/>
      <c r="I10" s="96"/>
      <c r="J10" s="105"/>
      <c r="K10" s="107"/>
      <c r="L10" s="107"/>
      <c r="M10" s="114">
        <f>N9+1</f>
        <v>9000001</v>
      </c>
      <c r="N10" s="147" t="s">
        <v>35</v>
      </c>
      <c r="O10" s="166" t="s">
        <v>205</v>
      </c>
      <c r="P10" s="107"/>
    </row>
    <row r="11" spans="1:29">
      <c r="A11" t="s">
        <v>243</v>
      </c>
      <c r="B11" s="85">
        <f>MAX(IF(B17="〇",B10-C17,IF(OR(B18="〇",B19="〇"),B10-C18)),0)</f>
        <v>0</v>
      </c>
      <c r="C11" s="85"/>
      <c r="D11" s="15"/>
      <c r="F11" s="85"/>
      <c r="G11" s="85"/>
      <c r="H11" s="96"/>
      <c r="I11" s="96"/>
      <c r="J11" s="105"/>
      <c r="K11" s="107"/>
      <c r="L11" s="107"/>
      <c r="M11" s="107"/>
      <c r="N11" s="107"/>
      <c r="O11" s="107"/>
      <c r="P11" s="107"/>
    </row>
    <row r="12" spans="1:29" ht="14.25">
      <c r="A12" t="s">
        <v>234</v>
      </c>
      <c r="B12" s="85">
        <f>控除額!D18</f>
        <v>0</v>
      </c>
      <c r="C12" s="85"/>
      <c r="D12" s="15"/>
      <c r="F12" s="85"/>
      <c r="G12" s="85"/>
      <c r="H12" s="96"/>
      <c r="I12" s="96"/>
      <c r="J12" s="105"/>
      <c r="K12" s="107"/>
      <c r="L12" s="107"/>
      <c r="M12" s="115" t="s">
        <v>149</v>
      </c>
      <c r="N12" s="115"/>
      <c r="O12" s="115"/>
      <c r="P12" s="115"/>
      <c r="Q12" s="190"/>
      <c r="R12" s="115" t="s">
        <v>145</v>
      </c>
      <c r="S12" s="115"/>
      <c r="U12" s="115" t="s">
        <v>150</v>
      </c>
      <c r="V12" s="115"/>
      <c r="W12" s="115"/>
      <c r="X12" s="115"/>
      <c r="Y12" s="190"/>
      <c r="Z12" s="115"/>
      <c r="AA12" s="115"/>
    </row>
    <row r="13" spans="1:29">
      <c r="A13" t="s">
        <v>123</v>
      </c>
      <c r="B13" s="85">
        <f>控除額!D19</f>
        <v>0</v>
      </c>
      <c r="C13" s="85"/>
      <c r="D13" s="15"/>
      <c r="F13" s="85"/>
      <c r="G13" s="85"/>
      <c r="H13" s="96"/>
      <c r="I13" s="96"/>
      <c r="J13" s="105"/>
      <c r="K13" s="107"/>
      <c r="L13" s="107"/>
      <c r="M13" s="116" t="s">
        <v>136</v>
      </c>
      <c r="N13" s="148">
        <v>0</v>
      </c>
      <c r="O13" s="167">
        <v>10000</v>
      </c>
      <c r="P13" s="182"/>
      <c r="Q13" s="191">
        <f>B46</f>
        <v>0</v>
      </c>
      <c r="R13" s="115">
        <f>IF(B46&lt;=O13,Q13,Q14)</f>
        <v>0</v>
      </c>
      <c r="S13" s="115">
        <f>IF(R13&lt;=15000,R13,15000)</f>
        <v>0</v>
      </c>
      <c r="U13" s="217" t="s">
        <v>24</v>
      </c>
      <c r="V13" s="148">
        <v>0</v>
      </c>
      <c r="W13" s="167">
        <v>25000</v>
      </c>
      <c r="X13" s="182"/>
      <c r="Y13" s="227">
        <f>B41</f>
        <v>0</v>
      </c>
      <c r="AA13" s="115"/>
      <c r="AB13" t="s">
        <v>85</v>
      </c>
    </row>
    <row r="14" spans="1:29">
      <c r="A14" t="s">
        <v>244</v>
      </c>
      <c r="B14" s="85">
        <f>B9+B11+B12+B13</f>
        <v>0</v>
      </c>
      <c r="C14" s="85"/>
      <c r="D14" s="15"/>
      <c r="F14" s="85"/>
      <c r="G14" s="85"/>
      <c r="H14" s="96"/>
      <c r="I14" s="96"/>
      <c r="J14" s="96"/>
      <c r="K14" s="108"/>
      <c r="L14" s="108"/>
      <c r="M14" s="117"/>
      <c r="N14" s="149">
        <f>+O13+1</f>
        <v>10001</v>
      </c>
      <c r="O14" s="168">
        <v>20000</v>
      </c>
      <c r="P14" s="183" t="s">
        <v>142</v>
      </c>
      <c r="Q14" s="192">
        <f>B46*0.5+5000</f>
        <v>5000</v>
      </c>
      <c r="U14" s="134"/>
      <c r="V14" s="149">
        <v>25001</v>
      </c>
      <c r="W14" s="169">
        <v>50000</v>
      </c>
      <c r="X14" s="183" t="s">
        <v>151</v>
      </c>
      <c r="Y14" s="228">
        <f>ROUNDUP(B41*0.5+12500,0)</f>
        <v>12500</v>
      </c>
      <c r="Z14" s="115">
        <f>IF(AND(B41&lt;=W13),B41,IF(AND(V14&lt;=B41,B41&lt;=W14),Y14,IF(AND(V15&lt;=B41),Y15)))</f>
        <v>0</v>
      </c>
      <c r="AA14" s="115">
        <f>IF(Z14&lt;=50000,Z14,IF(50000&lt;=Z14,50000))</f>
        <v>0</v>
      </c>
      <c r="AB14">
        <f>MAX(AA14,AA20,AC14)</f>
        <v>0</v>
      </c>
      <c r="AC14">
        <f>IF(AA14+AA20&lt;=40000,AA14+AA20,40000)</f>
        <v>0</v>
      </c>
    </row>
    <row r="15" spans="1:29">
      <c r="A15" t="s">
        <v>15</v>
      </c>
      <c r="C15" s="85"/>
      <c r="H15" s="96"/>
      <c r="I15" s="96"/>
      <c r="J15" s="105"/>
      <c r="K15" s="109"/>
      <c r="L15" s="109"/>
      <c r="M15" s="118"/>
      <c r="N15" s="149">
        <f>+O14+1</f>
        <v>20001</v>
      </c>
      <c r="O15" s="1" t="s">
        <v>35</v>
      </c>
      <c r="P15" s="184"/>
      <c r="Q15" s="193">
        <v>15000</v>
      </c>
      <c r="R15" s="204"/>
      <c r="U15" s="135"/>
      <c r="V15" s="149">
        <v>50001</v>
      </c>
      <c r="W15" s="222" t="s">
        <v>35</v>
      </c>
      <c r="X15" s="183" t="s">
        <v>152</v>
      </c>
      <c r="Y15" s="228">
        <f>ROUNDUP(B41*0.25+25000,0)</f>
        <v>25000</v>
      </c>
    </row>
    <row r="16" spans="1:29" ht="15" customHeight="1">
      <c r="A16" t="s">
        <v>31</v>
      </c>
      <c r="B16" s="85" t="str">
        <f>IF(控除額!C14="いない","〇","")</f>
        <v>〇</v>
      </c>
      <c r="C16" s="85"/>
      <c r="H16" s="96"/>
      <c r="I16" s="96"/>
      <c r="J16" s="105"/>
      <c r="K16" s="109"/>
      <c r="L16" s="109"/>
      <c r="M16" s="119" t="s">
        <v>140</v>
      </c>
      <c r="N16" s="149">
        <v>0</v>
      </c>
      <c r="O16" s="169">
        <v>50000</v>
      </c>
      <c r="P16" s="183"/>
      <c r="Q16" s="192">
        <f>B45</f>
        <v>0</v>
      </c>
      <c r="R16" t="s">
        <v>146</v>
      </c>
      <c r="U16" s="136" t="s">
        <v>38</v>
      </c>
      <c r="V16" s="149">
        <v>0</v>
      </c>
      <c r="W16" s="169">
        <v>25000</v>
      </c>
      <c r="X16" s="183"/>
      <c r="Y16" s="228">
        <f>B43</f>
        <v>0</v>
      </c>
      <c r="AB16" t="s">
        <v>62</v>
      </c>
    </row>
    <row r="17" spans="1:29" ht="14.25">
      <c r="A17" t="s">
        <v>245</v>
      </c>
      <c r="B17" s="85" t="str">
        <f>IF(控除額!C14="いる（64歳以下）","〇","")</f>
        <v/>
      </c>
      <c r="C17" s="85">
        <f>IF(B10&lt;1300000,600000,IF(AND(B10&gt;=1300000,B10&lt;4100000),B10*0.25+275000,IF(AND(B10&gt;=4100000,B10&lt;7700000),B10*0.15+685000,IF(AND(B10&gt;=7700000,B10&lt;10000000),B10*0.05+1455000,IF(B10&gt;=10000000,1955000)))))</f>
        <v>600000</v>
      </c>
      <c r="H17" s="96"/>
      <c r="I17" s="96"/>
      <c r="J17" s="96"/>
      <c r="K17" s="110"/>
      <c r="L17" s="111"/>
      <c r="M17" s="120"/>
      <c r="N17" s="150">
        <f>+O16+1</f>
        <v>50001</v>
      </c>
      <c r="O17" s="161" t="s">
        <v>35</v>
      </c>
      <c r="P17" s="185"/>
      <c r="Q17" s="194">
        <v>50000</v>
      </c>
      <c r="R17" s="115">
        <f>IF(B45&lt;=O16,Q16,Q17)</f>
        <v>0</v>
      </c>
      <c r="S17" s="115">
        <f>IF(R17&lt;=50000,R17,50000)</f>
        <v>0</v>
      </c>
      <c r="U17" s="137"/>
      <c r="V17" s="149">
        <v>25001</v>
      </c>
      <c r="W17" s="169">
        <v>50000</v>
      </c>
      <c r="X17" s="183" t="s">
        <v>151</v>
      </c>
      <c r="Y17" s="228">
        <f>ROUNDUP(B43*0.5+12500,0)</f>
        <v>12500</v>
      </c>
      <c r="Z17" s="115">
        <f>IF(AND(B43&lt;=W16),B43,IF(AND(V17&lt;=B43,B43&lt;=W17),Y17,IF(AND(V18&lt;=B43),Y18)))</f>
        <v>0</v>
      </c>
      <c r="AA17" s="115">
        <f>IF(Z17&lt;=50000,Z17,IF(50000&lt;=Z17,50000))</f>
        <v>0</v>
      </c>
      <c r="AB17">
        <f>MAX(AA17,AA23,AC17)</f>
        <v>0</v>
      </c>
      <c r="AC17">
        <f>IF(AA17+AA23&lt;=40000,AA17+AA23,40000)</f>
        <v>0</v>
      </c>
    </row>
    <row r="18" spans="1:29" ht="13.5" customHeight="1">
      <c r="A18" t="s">
        <v>3</v>
      </c>
      <c r="B18" s="85" t="str">
        <f>IF(控除額!C14="いる（65歳以上69歳以下）","〇","")</f>
        <v/>
      </c>
      <c r="C18" s="85">
        <f>IF(B10&lt;3300000,1100000,IF(AND(B10&gt;=3300000,B10&lt;4100000),B10*0.25+275000,IF(AND(B10&gt;=4100000,B10&lt;7700000),B10*0.15+685000,IF(AND(B10&gt;=7700000,B10&lt;10000000),B10*0.05+1455000,IF(B10&gt;=10000000,1955000,0)))))</f>
        <v>1100000</v>
      </c>
      <c r="H18" s="96"/>
      <c r="I18" s="96"/>
      <c r="J18" s="96"/>
      <c r="K18" s="110"/>
      <c r="L18" s="110"/>
      <c r="M18" s="121"/>
      <c r="N18" s="151"/>
      <c r="O18" s="170"/>
      <c r="P18" s="170"/>
      <c r="R18" s="115"/>
      <c r="S18" s="210">
        <f>IF(S13+S17&lt;=50000,S13+S17,IF(50000&lt;S13+S17,50000))</f>
        <v>0</v>
      </c>
      <c r="U18" s="138"/>
      <c r="V18" s="149">
        <v>50001</v>
      </c>
      <c r="W18" s="222" t="s">
        <v>35</v>
      </c>
      <c r="X18" s="183" t="s">
        <v>152</v>
      </c>
      <c r="Y18" s="228">
        <f>ROUNDUP(B43*0.25+25000,0)</f>
        <v>25000</v>
      </c>
      <c r="Z18" s="115"/>
    </row>
    <row r="19" spans="1:29">
      <c r="A19" t="s">
        <v>58</v>
      </c>
      <c r="B19" s="85" t="str">
        <f>IF(控除額!C14="いる（70歳以上）","〇","")</f>
        <v/>
      </c>
      <c r="C19" s="85"/>
      <c r="H19" s="96"/>
      <c r="I19" s="96"/>
      <c r="J19" s="105"/>
      <c r="K19" s="110"/>
      <c r="L19" s="110"/>
      <c r="M19" s="121"/>
      <c r="N19" s="151"/>
      <c r="O19" s="170"/>
      <c r="P19" s="170"/>
      <c r="U19" s="134" t="s">
        <v>75</v>
      </c>
      <c r="V19" s="158">
        <v>0</v>
      </c>
      <c r="W19" s="223">
        <v>20000</v>
      </c>
      <c r="X19" s="225"/>
      <c r="Y19" s="229">
        <f>B40</f>
        <v>0</v>
      </c>
      <c r="Z19" s="115"/>
      <c r="AA19" s="115"/>
    </row>
    <row r="20" spans="1:29">
      <c r="A20" t="s">
        <v>13</v>
      </c>
      <c r="C20" s="85"/>
      <c r="H20" s="96"/>
      <c r="I20" s="96"/>
      <c r="J20" s="105"/>
      <c r="K20" s="110"/>
      <c r="L20" s="111"/>
      <c r="M20" s="121"/>
      <c r="N20" s="151"/>
      <c r="O20" s="170"/>
      <c r="P20" s="170"/>
      <c r="U20" s="134"/>
      <c r="V20" s="149">
        <v>20001</v>
      </c>
      <c r="W20" s="169">
        <v>40000</v>
      </c>
      <c r="X20" s="183" t="s">
        <v>153</v>
      </c>
      <c r="Y20" s="228">
        <f>ROUNDUP(B40*0.5+10000,0)</f>
        <v>10000</v>
      </c>
      <c r="Z20" s="115">
        <f>IF(AND(B40&lt;=W19),B40,IF(AND(V20&lt;=B40,B40&lt;=W20),Y20,IF(AND(V21&lt;=B40),Y21)))</f>
        <v>0</v>
      </c>
      <c r="AA20" s="115">
        <f>IF(Z20&lt;=40000,Z20,IF(40000&lt;=Z20,40000))</f>
        <v>0</v>
      </c>
    </row>
    <row r="21" spans="1:29">
      <c r="A21" t="s">
        <v>39</v>
      </c>
      <c r="B21" s="85" t="str">
        <f>IF(控除額!C22="該当しない","〇","")</f>
        <v>〇</v>
      </c>
      <c r="C21" s="85"/>
      <c r="K21" s="110"/>
      <c r="L21" s="110"/>
      <c r="M21" s="121"/>
      <c r="N21" s="151"/>
      <c r="O21" s="170"/>
      <c r="P21" s="170"/>
      <c r="U21" s="135"/>
      <c r="V21" s="149">
        <v>40001</v>
      </c>
      <c r="W21" s="222" t="s">
        <v>35</v>
      </c>
      <c r="X21" s="183" t="s">
        <v>154</v>
      </c>
      <c r="Y21" s="228">
        <f>ROUNDUP(B40*0.25+20000,0)</f>
        <v>20000</v>
      </c>
    </row>
    <row r="22" spans="1:29" ht="15" customHeight="1">
      <c r="A22" t="s">
        <v>34</v>
      </c>
      <c r="B22" s="85" t="str">
        <f>IF(控除額!C22="寡婦","〇","")</f>
        <v/>
      </c>
      <c r="C22" s="85"/>
      <c r="D22" s="15" t="s">
        <v>59</v>
      </c>
      <c r="E22" s="85">
        <f>IF(AND(B7&lt;=5000000,B22="〇"),260000,IF(B21="〇",0,0))</f>
        <v>0</v>
      </c>
      <c r="F22" s="85">
        <f>IF(B22="〇",10000,0)</f>
        <v>0</v>
      </c>
      <c r="G22" s="85">
        <f>E22+F22</f>
        <v>0</v>
      </c>
      <c r="M22" s="85" t="s">
        <v>92</v>
      </c>
      <c r="N22" s="110" t="s">
        <v>53</v>
      </c>
      <c r="O22" s="110"/>
      <c r="Q22" s="121" t="s">
        <v>95</v>
      </c>
      <c r="R22" s="151"/>
      <c r="S22" s="170"/>
      <c r="U22" s="136" t="s">
        <v>77</v>
      </c>
      <c r="V22" s="149">
        <v>0</v>
      </c>
      <c r="W22" s="169">
        <v>20000</v>
      </c>
      <c r="X22" s="183"/>
      <c r="Y22" s="228">
        <f>B42</f>
        <v>0</v>
      </c>
    </row>
    <row r="23" spans="1:29">
      <c r="A23" t="s">
        <v>52</v>
      </c>
      <c r="B23" s="85" t="str">
        <f>IF(控除額!C22="ひとり親（男性）","〇","")</f>
        <v/>
      </c>
      <c r="C23" s="85"/>
      <c r="D23" s="15" t="s">
        <v>65</v>
      </c>
      <c r="E23" s="85">
        <f>IF(AND(B7&lt;=5000000,B23="〇"),300000,IF(AND(D2&lt;=5000000,B24="〇"),300000,IF(B21="〇",0,0)))</f>
        <v>0</v>
      </c>
      <c r="F23" s="85">
        <f>IF(B23="〇",10000,IF(B24="〇",50000,0))</f>
        <v>0</v>
      </c>
      <c r="G23" s="85">
        <f>E23+F23</f>
        <v>0</v>
      </c>
      <c r="H23" s="96"/>
      <c r="I23" s="96"/>
      <c r="J23" s="105"/>
      <c r="M23" s="122"/>
      <c r="N23" s="152">
        <v>0</v>
      </c>
      <c r="O23" s="171">
        <v>0</v>
      </c>
      <c r="Q23" s="195">
        <v>0</v>
      </c>
      <c r="R23" s="205">
        <v>1950000</v>
      </c>
      <c r="S23" s="211" t="s">
        <v>98</v>
      </c>
      <c r="U23" s="137"/>
      <c r="V23" s="149">
        <v>20001</v>
      </c>
      <c r="W23" s="169">
        <v>40000</v>
      </c>
      <c r="X23" s="183" t="s">
        <v>153</v>
      </c>
      <c r="Y23" s="228">
        <f>ROUNDUP(B42*0.5+10000,0)</f>
        <v>10000</v>
      </c>
      <c r="Z23" s="115">
        <f>IF(AND(B42&lt;=W22),B42,IF(AND(V23&lt;=B42,B42&lt;=W23),Y23,IF(AND(V24&lt;=B42),Y24)))</f>
        <v>0</v>
      </c>
      <c r="AA23" s="115">
        <f>IF(Z23&lt;=40000,Z23,IF(40000&lt;=Z23,40000))</f>
        <v>0</v>
      </c>
    </row>
    <row r="24" spans="1:29" ht="13.5" customHeight="1">
      <c r="A24" t="s">
        <v>27</v>
      </c>
      <c r="B24" s="85" t="str">
        <f>IF(控除額!C22="ひとり親（女性）","〇","")</f>
        <v/>
      </c>
      <c r="D24" s="15"/>
      <c r="F24" s="85"/>
      <c r="G24" s="85"/>
      <c r="H24" s="96"/>
      <c r="I24" s="96"/>
      <c r="J24" s="105"/>
      <c r="M24" s="123">
        <v>1000</v>
      </c>
      <c r="N24" s="153">
        <v>1949000</v>
      </c>
      <c r="O24" s="172" t="s">
        <v>63</v>
      </c>
      <c r="Q24" s="196">
        <v>1950001</v>
      </c>
      <c r="R24" s="206">
        <v>3300000</v>
      </c>
      <c r="S24" s="212" t="s">
        <v>99</v>
      </c>
      <c r="U24" s="138"/>
      <c r="V24" s="149">
        <v>40001</v>
      </c>
      <c r="W24" s="222" t="s">
        <v>35</v>
      </c>
      <c r="X24" s="183" t="s">
        <v>154</v>
      </c>
      <c r="Y24" s="228">
        <f>ROUNDUP(B42*0.25+20000,0)</f>
        <v>20000</v>
      </c>
      <c r="Z24" s="115"/>
      <c r="AA24" s="115"/>
    </row>
    <row r="25" spans="1:29" ht="14.25" customHeight="1">
      <c r="A25" t="s">
        <v>0</v>
      </c>
      <c r="D25" s="15" t="s">
        <v>60</v>
      </c>
      <c r="E25" s="85">
        <f>IF(B26&gt;=1,260000*B26,IF(B28&gt;=1,300000*B28,IF(B27&gt;=1,300000*B27,IF(B29&gt;=1,530000*B29,IF(AND(B26="",B28="",B29="",B27=""),0,0)))))</f>
        <v>0</v>
      </c>
      <c r="F25" s="85">
        <f>SUM(B26*10000,B27*100000,B28*100000,B29*220000)</f>
        <v>0</v>
      </c>
      <c r="G25" s="85">
        <f>E25+F25</f>
        <v>0</v>
      </c>
      <c r="H25" s="96"/>
      <c r="I25" s="96"/>
      <c r="J25" s="106"/>
      <c r="M25" s="124">
        <v>1950000</v>
      </c>
      <c r="N25" s="154">
        <v>3299000</v>
      </c>
      <c r="O25" s="173" t="s">
        <v>109</v>
      </c>
      <c r="Q25" s="197">
        <v>3300001</v>
      </c>
      <c r="R25" s="207">
        <v>6950000</v>
      </c>
      <c r="S25" s="213" t="s">
        <v>100</v>
      </c>
      <c r="U25" s="137" t="s">
        <v>78</v>
      </c>
      <c r="V25" s="158">
        <v>0</v>
      </c>
      <c r="W25" s="223">
        <v>20000</v>
      </c>
      <c r="X25" s="225"/>
      <c r="Y25" s="229">
        <f>B44</f>
        <v>0</v>
      </c>
      <c r="AA25" s="115"/>
      <c r="AB25" t="s">
        <v>76</v>
      </c>
    </row>
    <row r="26" spans="1:29">
      <c r="A26" t="s">
        <v>20</v>
      </c>
      <c r="B26" s="85">
        <f>控除額!C26+控除額!C25</f>
        <v>0</v>
      </c>
      <c r="C26" t="s">
        <v>269</v>
      </c>
      <c r="D26" s="15"/>
      <c r="F26" s="85"/>
      <c r="G26" s="85"/>
      <c r="H26" s="96"/>
      <c r="I26" s="96"/>
      <c r="J26" s="105"/>
      <c r="M26" s="124">
        <v>3300000</v>
      </c>
      <c r="N26" s="153">
        <v>6949000</v>
      </c>
      <c r="O26" s="174" t="s">
        <v>110</v>
      </c>
      <c r="Q26" s="196">
        <v>6950001</v>
      </c>
      <c r="R26" s="206">
        <v>9000000</v>
      </c>
      <c r="S26" s="212" t="s">
        <v>103</v>
      </c>
      <c r="U26" s="137"/>
      <c r="V26" s="149">
        <v>20001</v>
      </c>
      <c r="W26" s="169">
        <v>40000</v>
      </c>
      <c r="X26" s="183" t="s">
        <v>153</v>
      </c>
      <c r="Y26" s="228">
        <f>ROUNDUP(B44*0.5+10000,0)</f>
        <v>10000</v>
      </c>
      <c r="Z26" s="115">
        <f>IF(AND(B44&lt;=W25),B44,IF(AND(V26&lt;=B44,B44&lt;=W26),Y26,IF(AND(V27&lt;=B44),Y27)))</f>
        <v>0</v>
      </c>
      <c r="AA26" s="115">
        <f>IF(Z26&lt;=40000,Z26,IF(40000&lt;=Z26,40000))</f>
        <v>0</v>
      </c>
      <c r="AB26">
        <f>AA26</f>
        <v>0</v>
      </c>
    </row>
    <row r="27" spans="1:29" ht="13.5" customHeight="1">
      <c r="A27" t="s">
        <v>250</v>
      </c>
      <c r="B27" s="85">
        <f>控除額!C27</f>
        <v>0</v>
      </c>
      <c r="C27" t="str">
        <f>IF(OR(控除額!C25=1,B27=1),"〇","")</f>
        <v/>
      </c>
      <c r="D27" s="15"/>
      <c r="F27" s="85"/>
      <c r="G27" s="85"/>
      <c r="H27" s="96"/>
      <c r="I27" s="96"/>
      <c r="J27" s="96"/>
      <c r="M27" s="125">
        <v>6950000</v>
      </c>
      <c r="N27" s="154">
        <v>8999000</v>
      </c>
      <c r="O27" s="173" t="s">
        <v>111</v>
      </c>
      <c r="Q27" s="196">
        <v>9000001</v>
      </c>
      <c r="R27" s="206">
        <v>18000000</v>
      </c>
      <c r="S27" s="212" t="s">
        <v>104</v>
      </c>
      <c r="U27" s="139"/>
      <c r="V27" s="150">
        <v>40001</v>
      </c>
      <c r="W27" s="161" t="s">
        <v>35</v>
      </c>
      <c r="X27" s="185" t="s">
        <v>154</v>
      </c>
      <c r="Y27" s="230">
        <f>ROUNDUP(B44*0.25+20000,0)</f>
        <v>20000</v>
      </c>
      <c r="Z27" s="115"/>
      <c r="AA27" s="115"/>
    </row>
    <row r="28" spans="1:29">
      <c r="A28" t="s">
        <v>249</v>
      </c>
      <c r="B28" s="85">
        <f>控除額!C28</f>
        <v>0</v>
      </c>
      <c r="D28" s="15"/>
      <c r="F28" s="85"/>
      <c r="G28" s="85"/>
      <c r="H28" s="96"/>
      <c r="I28" s="96"/>
      <c r="J28" s="96"/>
      <c r="M28" s="125">
        <v>9000000</v>
      </c>
      <c r="N28" s="154">
        <v>17999000</v>
      </c>
      <c r="O28" s="173" t="s">
        <v>113</v>
      </c>
      <c r="Q28" s="198">
        <v>18000001</v>
      </c>
      <c r="R28" s="208">
        <v>40000000</v>
      </c>
      <c r="S28" s="214" t="s">
        <v>105</v>
      </c>
      <c r="AB28" t="s">
        <v>155</v>
      </c>
    </row>
    <row r="29" spans="1:29" ht="14.25">
      <c r="A29" t="s">
        <v>1</v>
      </c>
      <c r="B29" s="85">
        <f>控除額!C29</f>
        <v>0</v>
      </c>
      <c r="H29" s="96"/>
      <c r="I29" s="96"/>
      <c r="J29" s="106"/>
      <c r="K29" s="85"/>
      <c r="M29" s="124">
        <v>18000000</v>
      </c>
      <c r="N29" s="153">
        <v>39999000</v>
      </c>
      <c r="O29" s="174" t="s">
        <v>114</v>
      </c>
      <c r="Q29" s="199">
        <v>40000001</v>
      </c>
      <c r="R29" s="209" t="s">
        <v>35</v>
      </c>
      <c r="S29" s="215" t="s">
        <v>107</v>
      </c>
      <c r="AB29">
        <f>IF(AB14+AB17+AB26&lt;=120000,AB14+AB17+AB26,120000)</f>
        <v>0</v>
      </c>
    </row>
    <row r="30" spans="1:29" ht="14.25">
      <c r="A30" t="s">
        <v>16</v>
      </c>
      <c r="C30" s="85"/>
      <c r="D30" s="15"/>
      <c r="E30" s="85">
        <f>IF(SUM(B31:B36)=0,0,SUM(C32:C36))</f>
        <v>0</v>
      </c>
      <c r="F30" s="85">
        <f>SUM(B32*50000,B33*130000,B34*100000,B35*180000)</f>
        <v>0</v>
      </c>
      <c r="G30" s="85">
        <f>E30+F30</f>
        <v>0</v>
      </c>
      <c r="H30" s="96"/>
      <c r="I30" s="96"/>
      <c r="J30" s="105"/>
      <c r="M30" s="126">
        <v>40000000</v>
      </c>
      <c r="N30" s="155"/>
      <c r="O30" s="175" t="s">
        <v>115</v>
      </c>
      <c r="P30" s="156"/>
      <c r="Q30" s="157"/>
      <c r="R30" s="157"/>
      <c r="S30" s="157"/>
    </row>
    <row r="31" spans="1:29">
      <c r="A31" t="s">
        <v>170</v>
      </c>
      <c r="B31" s="85">
        <f>Z85</f>
        <v>0</v>
      </c>
      <c r="C31" s="85"/>
      <c r="D31" s="86" t="s">
        <v>200</v>
      </c>
      <c r="E31" s="85">
        <f>IF(AND(OR(B17="〇",B18="〇",B19="〇"),B9&lt;=380000),1,0)</f>
        <v>0</v>
      </c>
      <c r="F31" s="85"/>
      <c r="G31" s="85"/>
      <c r="H31" s="96"/>
      <c r="I31" s="96"/>
      <c r="J31" s="105"/>
      <c r="M31" s="85"/>
      <c r="N31" s="156"/>
      <c r="O31" s="156"/>
      <c r="P31" s="156"/>
      <c r="Q31" s="157"/>
      <c r="R31" s="157"/>
      <c r="S31" s="157"/>
    </row>
    <row r="32" spans="1:29">
      <c r="A32" t="s">
        <v>278</v>
      </c>
      <c r="B32" s="85">
        <f t="shared" ref="B32:C35" si="0">Z86</f>
        <v>0</v>
      </c>
      <c r="C32" s="85">
        <f t="shared" si="0"/>
        <v>0</v>
      </c>
      <c r="D32" s="15" t="s">
        <v>49</v>
      </c>
      <c r="E32" s="85">
        <f>SUM(B31:B35)</f>
        <v>0</v>
      </c>
      <c r="F32" s="85"/>
      <c r="G32" s="85"/>
      <c r="H32" s="96"/>
      <c r="I32" s="96"/>
      <c r="J32" s="105"/>
      <c r="M32" s="85"/>
      <c r="N32" s="157"/>
      <c r="O32" s="157"/>
      <c r="P32" s="157"/>
      <c r="Q32" s="157"/>
      <c r="R32" s="157"/>
      <c r="S32" s="157"/>
    </row>
    <row r="33" spans="1:27">
      <c r="A33" t="s">
        <v>279</v>
      </c>
      <c r="B33" s="85">
        <f t="shared" si="0"/>
        <v>0</v>
      </c>
      <c r="C33" s="85">
        <f t="shared" si="0"/>
        <v>0</v>
      </c>
      <c r="D33" s="15" t="s">
        <v>71</v>
      </c>
      <c r="E33" s="85">
        <f>E32+E31+1</f>
        <v>1</v>
      </c>
      <c r="F33" s="85"/>
      <c r="G33" s="85"/>
      <c r="H33" s="96"/>
      <c r="I33" s="96"/>
      <c r="J33" s="105"/>
      <c r="M33" s="85"/>
      <c r="N33" s="107"/>
      <c r="O33" s="107"/>
      <c r="P33" s="107"/>
      <c r="Q33" s="107"/>
      <c r="R33" s="107"/>
      <c r="S33" s="107"/>
    </row>
    <row r="34" spans="1:27">
      <c r="A34" t="s">
        <v>44</v>
      </c>
      <c r="B34" s="85">
        <f t="shared" si="0"/>
        <v>0</v>
      </c>
      <c r="C34" s="85">
        <f t="shared" si="0"/>
        <v>0</v>
      </c>
      <c r="D34" s="15" t="s">
        <v>268</v>
      </c>
      <c r="E34" s="85" t="str">
        <f>IF(AND(OR(B22="〇",B23="〇",B24="〇",C27="〇"),B7&lt;=1350000),1,"")</f>
        <v/>
      </c>
      <c r="F34" s="85"/>
      <c r="G34" s="85"/>
      <c r="H34" s="96"/>
      <c r="I34" s="96"/>
      <c r="J34" s="105"/>
      <c r="M34" s="85"/>
    </row>
    <row r="35" spans="1:27">
      <c r="A35" t="s">
        <v>280</v>
      </c>
      <c r="B35" s="85">
        <f t="shared" si="0"/>
        <v>0</v>
      </c>
      <c r="C35" s="85">
        <f t="shared" si="0"/>
        <v>0</v>
      </c>
      <c r="D35" s="15"/>
      <c r="E35" s="85">
        <f>AA91</f>
        <v>0</v>
      </c>
      <c r="F35" s="85"/>
      <c r="G35" s="85">
        <f>AA90</f>
        <v>0</v>
      </c>
      <c r="H35" s="96"/>
      <c r="I35" s="96"/>
      <c r="J35" s="96"/>
      <c r="M35" s="85"/>
    </row>
    <row r="36" spans="1:27" ht="14.25">
      <c r="A36" t="s">
        <v>194</v>
      </c>
      <c r="B36" s="85">
        <f>AA91</f>
        <v>0</v>
      </c>
      <c r="C36" s="85"/>
      <c r="D36" s="15"/>
      <c r="F36" s="85"/>
      <c r="G36" s="85"/>
      <c r="H36" s="96"/>
      <c r="I36" s="96"/>
      <c r="J36" s="105"/>
      <c r="M36" s="115" t="s">
        <v>147</v>
      </c>
      <c r="N36" s="115"/>
      <c r="O36" s="115"/>
      <c r="P36" s="115"/>
      <c r="Q36" s="190"/>
      <c r="R36" s="115" t="s">
        <v>18</v>
      </c>
      <c r="T36" s="216"/>
      <c r="U36" s="115" t="s">
        <v>135</v>
      </c>
      <c r="V36" s="115"/>
      <c r="W36" s="115"/>
      <c r="X36" s="115"/>
      <c r="Y36" s="190"/>
      <c r="Z36" s="115" t="s">
        <v>145</v>
      </c>
      <c r="AA36" s="115"/>
    </row>
    <row r="37" spans="1:27" ht="13.5" customHeight="1">
      <c r="A37" t="s">
        <v>33</v>
      </c>
      <c r="B37" s="85" t="str">
        <f>IF(控除額!C40="該当する","〇","")</f>
        <v/>
      </c>
      <c r="C37" s="85"/>
      <c r="D37" s="15" t="s">
        <v>42</v>
      </c>
      <c r="E37" s="85">
        <f>IF(B37="〇",260000,0)</f>
        <v>0</v>
      </c>
      <c r="F37" s="85">
        <f>IF(B37="〇",10000,0)</f>
        <v>0</v>
      </c>
      <c r="G37" s="85">
        <f>E37+F37</f>
        <v>0</v>
      </c>
      <c r="H37" s="96"/>
      <c r="I37" s="96"/>
      <c r="J37" s="105"/>
      <c r="M37" s="127" t="s">
        <v>24</v>
      </c>
      <c r="N37" s="148">
        <v>0</v>
      </c>
      <c r="O37" s="167">
        <v>15000</v>
      </c>
      <c r="P37" s="186"/>
      <c r="Q37" s="200">
        <f>B41</f>
        <v>0</v>
      </c>
      <c r="R37" s="115"/>
      <c r="S37" t="s">
        <v>85</v>
      </c>
      <c r="U37" s="218" t="s">
        <v>136</v>
      </c>
      <c r="V37" s="148">
        <v>0</v>
      </c>
      <c r="W37" s="224">
        <v>5000</v>
      </c>
      <c r="X37" s="182"/>
      <c r="Y37" s="191">
        <f>J62</f>
        <v>0</v>
      </c>
      <c r="Z37" s="115">
        <f>IF(B46&lt;=W37,Y37,IF(AND(B46&gt;=V38,B46&lt;W38),Y38,IF(B46&gt;=V39,Y39,0)))</f>
        <v>0</v>
      </c>
      <c r="AA37" s="115"/>
    </row>
    <row r="38" spans="1:27">
      <c r="A38" t="s">
        <v>10</v>
      </c>
      <c r="B38" s="85">
        <f>控除額!C43</f>
        <v>0</v>
      </c>
      <c r="C38" s="85"/>
      <c r="D38" s="15" t="s">
        <v>61</v>
      </c>
      <c r="E38" s="85">
        <f>B38+B39</f>
        <v>0</v>
      </c>
      <c r="F38" s="85"/>
      <c r="G38" s="85">
        <f>E38</f>
        <v>0</v>
      </c>
      <c r="H38" s="96"/>
      <c r="I38" s="96"/>
      <c r="J38" s="96"/>
      <c r="M38" s="128"/>
      <c r="N38" s="149">
        <v>15001</v>
      </c>
      <c r="O38" s="169">
        <v>40000</v>
      </c>
      <c r="P38" s="187" t="s">
        <v>81</v>
      </c>
      <c r="Q38" s="201">
        <f>B41*0.5+7500</f>
        <v>7500</v>
      </c>
      <c r="R38" s="115"/>
      <c r="U38" s="219"/>
      <c r="V38" s="149">
        <f>+W37+1</f>
        <v>5001</v>
      </c>
      <c r="W38" s="169">
        <v>15000</v>
      </c>
      <c r="X38" s="183" t="s">
        <v>156</v>
      </c>
      <c r="Y38" s="192">
        <f>B46*0.5+2500</f>
        <v>2500</v>
      </c>
    </row>
    <row r="39" spans="1:27">
      <c r="A39" t="s">
        <v>17</v>
      </c>
      <c r="B39" s="85">
        <f>控除額!C44</f>
        <v>0</v>
      </c>
      <c r="C39" s="85"/>
      <c r="D39" s="15"/>
      <c r="F39" s="85"/>
      <c r="G39" s="85"/>
      <c r="H39" s="96"/>
      <c r="I39" s="96"/>
      <c r="J39" s="96"/>
      <c r="M39" s="128"/>
      <c r="N39" s="149">
        <v>40001</v>
      </c>
      <c r="O39" s="169">
        <v>70000</v>
      </c>
      <c r="P39" s="187" t="s">
        <v>82</v>
      </c>
      <c r="Q39" s="201">
        <f>B41*0.25+17500</f>
        <v>17500</v>
      </c>
      <c r="R39" s="115">
        <f>ROUNDUP(IF(B41&lt;=O37,Q37,IF(AND(B41&gt;=N38,B41&lt;=O38),Q38,IF(AND(B41&gt;=N39,B41&lt;=O39),Q39,IF(B41&gt;=N40,Q40)))),0)</f>
        <v>0</v>
      </c>
      <c r="S39">
        <f>MAX(R39,R47,T39)</f>
        <v>0</v>
      </c>
      <c r="T39">
        <f>IF(R39+R47&lt;=28000,R39+R47,28000)</f>
        <v>0</v>
      </c>
      <c r="U39" s="220"/>
      <c r="V39" s="149">
        <f>+W38+1</f>
        <v>15001</v>
      </c>
      <c r="W39" s="222" t="s">
        <v>35</v>
      </c>
      <c r="X39" s="183">
        <v>10000</v>
      </c>
      <c r="Y39" s="192">
        <v>10000</v>
      </c>
      <c r="Z39" t="s">
        <v>146</v>
      </c>
    </row>
    <row r="40" spans="1:27">
      <c r="A40" t="s">
        <v>80</v>
      </c>
      <c r="B40" s="85">
        <f>控除額!C45</f>
        <v>0</v>
      </c>
      <c r="C40" s="85"/>
      <c r="D40" s="15" t="s">
        <v>8</v>
      </c>
      <c r="E40" s="85">
        <f>S59</f>
        <v>0</v>
      </c>
      <c r="F40" s="85">
        <f>AB29-E40</f>
        <v>0</v>
      </c>
      <c r="G40" s="85">
        <f>AB29</f>
        <v>0</v>
      </c>
      <c r="H40" s="96"/>
      <c r="I40" s="96"/>
      <c r="J40" s="105"/>
      <c r="M40" s="129"/>
      <c r="N40" s="158">
        <v>70001</v>
      </c>
      <c r="O40" s="176" t="s">
        <v>35</v>
      </c>
      <c r="P40" s="187">
        <v>35000</v>
      </c>
      <c r="Q40" s="201">
        <v>35000</v>
      </c>
      <c r="R40" s="115"/>
      <c r="U40" s="119" t="s">
        <v>140</v>
      </c>
      <c r="V40" s="149">
        <v>0</v>
      </c>
      <c r="W40" s="169">
        <v>50000</v>
      </c>
      <c r="X40" s="183" t="s">
        <v>143</v>
      </c>
      <c r="Y40" s="192">
        <f>ROUNDDOWN(B45*0.5,0)</f>
        <v>0</v>
      </c>
      <c r="Z40" s="115">
        <f>IF(B45&lt;=W40,Y40,Y41)</f>
        <v>0</v>
      </c>
      <c r="AA40" s="115"/>
    </row>
    <row r="41" spans="1:27" ht="14.25">
      <c r="A41" t="s">
        <v>43</v>
      </c>
      <c r="B41" s="85">
        <f>控除額!C46</f>
        <v>0</v>
      </c>
      <c r="C41" s="85"/>
      <c r="D41" s="15"/>
      <c r="F41" s="85"/>
      <c r="G41" s="85"/>
      <c r="H41" s="96"/>
      <c r="I41" s="96"/>
      <c r="J41" s="105"/>
      <c r="M41" s="130" t="s">
        <v>38</v>
      </c>
      <c r="N41" s="149">
        <v>0</v>
      </c>
      <c r="O41" s="177">
        <v>15000</v>
      </c>
      <c r="P41" s="187"/>
      <c r="Q41" s="201">
        <f>B43</f>
        <v>0</v>
      </c>
      <c r="R41" s="115"/>
      <c r="U41" s="120"/>
      <c r="V41" s="150">
        <f>+W40+1</f>
        <v>50001</v>
      </c>
      <c r="W41" s="161" t="s">
        <v>35</v>
      </c>
      <c r="X41" s="185">
        <v>25000</v>
      </c>
      <c r="Y41" s="194">
        <v>25000</v>
      </c>
      <c r="Z41" s="232">
        <f>IF(Z37=0,Z40,Z37+Z40)</f>
        <v>0</v>
      </c>
      <c r="AA41" s="233"/>
    </row>
    <row r="42" spans="1:27">
      <c r="A42" t="s">
        <v>73</v>
      </c>
      <c r="B42" s="85">
        <f>控除額!C47</f>
        <v>0</v>
      </c>
      <c r="C42" s="85"/>
      <c r="D42" s="15"/>
      <c r="F42" s="85"/>
      <c r="G42" s="85"/>
      <c r="M42" s="131"/>
      <c r="N42" s="149">
        <v>15001</v>
      </c>
      <c r="O42" s="177">
        <v>40000</v>
      </c>
      <c r="P42" s="187" t="s">
        <v>81</v>
      </c>
      <c r="Q42" s="201">
        <f>B43*0.5+7500</f>
        <v>7500</v>
      </c>
      <c r="R42" s="115"/>
      <c r="S42" t="s">
        <v>62</v>
      </c>
      <c r="U42" s="121"/>
      <c r="V42" s="151"/>
      <c r="W42" s="170"/>
      <c r="X42" s="170"/>
    </row>
    <row r="43" spans="1:27" ht="13.5" customHeight="1">
      <c r="A43" t="s">
        <v>41</v>
      </c>
      <c r="B43" s="85">
        <f>控除額!C48</f>
        <v>0</v>
      </c>
      <c r="C43" s="85"/>
      <c r="D43" s="15"/>
      <c r="F43" s="85"/>
      <c r="G43" s="85"/>
      <c r="M43" s="131"/>
      <c r="N43" s="149">
        <v>40001</v>
      </c>
      <c r="O43" s="177">
        <v>70000</v>
      </c>
      <c r="P43" s="187" t="s">
        <v>82</v>
      </c>
      <c r="Q43" s="201">
        <f>B43*0.25+17500</f>
        <v>17500</v>
      </c>
      <c r="R43" s="115">
        <f>ROUNDUP(IF(B43&lt;=O41,Q41,IF(AND(B43&gt;=N42,B43&lt;=O42),Q42,IF(AND(B43&gt;=N43,B43&lt;=O43),Q43,IF(B43&gt;=N44,Q44)))),0)</f>
        <v>0</v>
      </c>
      <c r="S43">
        <f>MAX(R43,R51,T43)</f>
        <v>0</v>
      </c>
      <c r="T43">
        <f>IF(R43+R51&lt;=28000,R43+R51,28000)</f>
        <v>0</v>
      </c>
    </row>
    <row r="44" spans="1:27">
      <c r="A44" t="s">
        <v>32</v>
      </c>
      <c r="B44" s="85">
        <f>控除額!C49</f>
        <v>0</v>
      </c>
      <c r="C44" s="85"/>
      <c r="D44" s="15"/>
      <c r="F44" s="85"/>
      <c r="G44" s="85"/>
      <c r="M44" s="132"/>
      <c r="N44" s="149">
        <v>70001</v>
      </c>
      <c r="O44" s="178" t="s">
        <v>35</v>
      </c>
      <c r="P44" s="187">
        <v>35000</v>
      </c>
      <c r="Q44" s="201">
        <v>35000</v>
      </c>
      <c r="R44" s="115"/>
      <c r="X44" t="s">
        <v>263</v>
      </c>
    </row>
    <row r="45" spans="1:27">
      <c r="A45" t="s">
        <v>30</v>
      </c>
      <c r="B45" s="85">
        <f>控除額!C50</f>
        <v>0</v>
      </c>
      <c r="C45" s="85"/>
      <c r="D45" s="15" t="s">
        <v>22</v>
      </c>
      <c r="E45" s="85">
        <f>IF(Z41&lt;=25000,Z41,25000)</f>
        <v>0</v>
      </c>
      <c r="F45" s="85">
        <f>S18-E45</f>
        <v>0</v>
      </c>
      <c r="G45" s="85">
        <f>S18</f>
        <v>0</v>
      </c>
      <c r="M45" s="133" t="s">
        <v>75</v>
      </c>
      <c r="N45" s="149">
        <v>0</v>
      </c>
      <c r="O45" s="177">
        <v>12000</v>
      </c>
      <c r="P45" s="188"/>
      <c r="Q45" s="202">
        <f>B40</f>
        <v>0</v>
      </c>
      <c r="R45" s="115"/>
      <c r="U45" t="s">
        <v>283</v>
      </c>
      <c r="Z45" t="s">
        <v>286</v>
      </c>
      <c r="AA45" t="s">
        <v>287</v>
      </c>
    </row>
    <row r="46" spans="1:27">
      <c r="A46" t="s">
        <v>133</v>
      </c>
      <c r="B46" s="85">
        <f>控除額!C51</f>
        <v>0</v>
      </c>
      <c r="D46" s="15" t="s">
        <v>23</v>
      </c>
      <c r="E46" s="85">
        <f>控除額!C52</f>
        <v>0</v>
      </c>
      <c r="F46" s="85"/>
      <c r="G46" s="85">
        <f>E46</f>
        <v>0</v>
      </c>
      <c r="H46" s="96"/>
      <c r="M46" s="134"/>
      <c r="N46" s="149">
        <v>12001</v>
      </c>
      <c r="O46" s="177">
        <v>32000</v>
      </c>
      <c r="P46" s="188" t="s">
        <v>83</v>
      </c>
      <c r="Q46" s="202">
        <f>B40*0.5+6000</f>
        <v>6000</v>
      </c>
      <c r="R46" s="115"/>
      <c r="V46" t="s">
        <v>40</v>
      </c>
      <c r="W46" t="s">
        <v>186</v>
      </c>
      <c r="X46">
        <f>控除額!$F$33</f>
        <v>0</v>
      </c>
      <c r="Y46" s="85">
        <f>ROUNDDOWN(IF(W47&lt;=650999,0,IF(AND(W47&gt;=651000,W47&lt;=1899999),W47-650000,IF(AND(W47&gt;=1900000,W47&lt;=3599999),ROUNDDOWN(W47/4,-3)*2.8-80000,IF(AND(W47&gt;=3600000,W47&lt;=6599999),ROUNDDOWN(W47/4,-3)*3.2-440000,IF(AND(W47&gt;=6600000,W47&lt;=8499999),ROUNDDOWN(W47*0.9,0)-1100000,IF(W47&gt;=8500000,W47-1950000,0)))))),0)</f>
        <v>0</v>
      </c>
      <c r="AA46" s="85"/>
    </row>
    <row r="47" spans="1:27">
      <c r="C47" s="85"/>
      <c r="D47" s="86" t="s">
        <v>54</v>
      </c>
      <c r="G47" s="85">
        <f>'計算 (2)'!J17</f>
        <v>0</v>
      </c>
      <c r="H47" s="96"/>
      <c r="M47" s="134"/>
      <c r="N47" s="149">
        <v>32001</v>
      </c>
      <c r="O47" s="177">
        <v>56000</v>
      </c>
      <c r="P47" s="187" t="s">
        <v>84</v>
      </c>
      <c r="Q47" s="201">
        <f>B40*0.25+14000</f>
        <v>14000</v>
      </c>
      <c r="R47" s="115">
        <f>ROUNDUP(IF(B40&lt;=O45,Q45,IF(AND(B40&gt;=N46,B40&lt;=O46),Q46,IF(AND(B40&gt;=N47,B40&lt;=O47),Q47,IF(B40&gt;=N48,Q48)))),0)</f>
        <v>0</v>
      </c>
      <c r="V47" t="s">
        <v>5</v>
      </c>
      <c r="W47" s="85">
        <f>控除額!$G$33</f>
        <v>0</v>
      </c>
      <c r="X47" t="s">
        <v>12</v>
      </c>
      <c r="Y47" s="85">
        <f>IF(Y49&gt;0,Y46-Y49,Y46)</f>
        <v>0</v>
      </c>
      <c r="AA47" s="85"/>
    </row>
    <row r="48" spans="1:27">
      <c r="A48" t="s">
        <v>2</v>
      </c>
      <c r="B48" s="85">
        <f>ROUNDDOWN(IF(B7-E49&lt;0,0,B7-E49),-3)</f>
        <v>0</v>
      </c>
      <c r="D48" s="15" t="s">
        <v>134</v>
      </c>
      <c r="E48" s="85">
        <f>IF(B7&lt;=24000000,430000,IF(AND(B7&gt;24000000,B7&lt;=24500000),290000,IF(AND(B7&gt;24500000,B7&lt;=25000000),150000,IF(B7&gt;25000000,0,0))))</f>
        <v>430000</v>
      </c>
      <c r="F48" s="85">
        <f>G48-E48</f>
        <v>520000</v>
      </c>
      <c r="G48" s="85">
        <f>IF(B1&lt;=N62,O62,IF(AND(B1&gt;=M63,B1&lt;=N63),O63,IF(AND(B1&gt;=M64,B1&lt;=N64),O64,IF(AND(B1&gt;=M65,B1&lt;=N65),O65,IF(AND(B1&gt;=M66,B1&lt;=N66),O66,IF(B1&gt;=M67,O67))))))</f>
        <v>950000</v>
      </c>
      <c r="H48" s="96"/>
      <c r="M48" s="135"/>
      <c r="N48" s="149">
        <v>56001</v>
      </c>
      <c r="O48" s="178" t="s">
        <v>35</v>
      </c>
      <c r="P48" s="187">
        <v>28000</v>
      </c>
      <c r="Q48" s="201">
        <v>28000</v>
      </c>
      <c r="R48" s="115"/>
      <c r="V48" t="s">
        <v>112</v>
      </c>
      <c r="W48" s="85">
        <f>控除額!$H$33</f>
        <v>0</v>
      </c>
      <c r="X48" t="s">
        <v>125</v>
      </c>
      <c r="Y48" s="85">
        <f>MAX(IF(V49="〇",W48-W49,IF(V50="〇",W48-W50)),0)</f>
        <v>0</v>
      </c>
      <c r="AA48" s="85"/>
    </row>
    <row r="49" spans="1:27">
      <c r="A49" t="s">
        <v>132</v>
      </c>
      <c r="B49" s="85">
        <f>IF(C49=0,0,IF(AND(B48&gt;2000000,F49-(B48-2000000)&lt;=50000),2500,C49))</f>
        <v>0</v>
      </c>
      <c r="C49" s="85">
        <f>IF(B7&gt;25000000,0,IF(B48&lt;=2000000,MIN(B48,F49)*0.05,IF(B48&gt;2000000,(F49-B48+2000000)*0.05)))</f>
        <v>0</v>
      </c>
      <c r="D49" s="15" t="s">
        <v>93</v>
      </c>
      <c r="E49" s="103">
        <f>E8+E22+E23+E25+E30+E35+E37+E38+E40+E45+E46+E48</f>
        <v>430000</v>
      </c>
      <c r="F49" s="103">
        <f>F8+F22+F23+F25+F30+F37+F48</f>
        <v>520000</v>
      </c>
      <c r="G49" s="104" t="s">
        <v>272</v>
      </c>
      <c r="M49" s="136" t="s">
        <v>77</v>
      </c>
      <c r="N49" s="149">
        <v>0</v>
      </c>
      <c r="O49" s="177">
        <v>12000</v>
      </c>
      <c r="P49" s="187"/>
      <c r="Q49" s="201">
        <f>B42</f>
        <v>0</v>
      </c>
      <c r="R49" s="115"/>
      <c r="U49" t="s">
        <v>128</v>
      </c>
      <c r="V49" s="85" t="str">
        <f>IF(OR(X46="65～69",X46="70～(同居)",X46="70～(別居)"),"〇","")</f>
        <v/>
      </c>
      <c r="W49" s="85">
        <f>IF(W48&lt;3300000,1100000,IF(AND(W48&gt;=3300000,W48&lt;4100000),W48*0.25+275000,IF(AND(W48&gt;=4100000,W48&lt;7700000),W48*0.15+685000,IF(AND(W48&gt;=7700000,W48&lt;10000000),W48*0.05+1455000,IF(W48&gt;=10000000,1955000,0)))))</f>
        <v>1100000</v>
      </c>
      <c r="X49" t="s">
        <v>285</v>
      </c>
      <c r="Y49" s="85">
        <f>MAX(IF(Y48&gt;=100000,100000,Y48)+IF(Y46&gt;=100000,100000,Y46)-100000,0)</f>
        <v>0</v>
      </c>
      <c r="AA49" s="85"/>
    </row>
    <row r="50" spans="1:27">
      <c r="A50" t="s">
        <v>223</v>
      </c>
      <c r="B50" s="85">
        <f>IF(AND(E31+E32=0,B7&lt;=450000),0,IF(AND(OR(E31&gt;=1,E32&gt;=1),B7&lt;=E33*350000+420000),0,B48*0.1-B49))</f>
        <v>0</v>
      </c>
      <c r="D50" s="15"/>
      <c r="E50" s="96"/>
      <c r="F50" s="96">
        <f>G8+G22+G23+G25+G30+G35+G37+G38+G40+G45+G46+G48+G47</f>
        <v>950000</v>
      </c>
      <c r="G50" s="85" t="s">
        <v>131</v>
      </c>
      <c r="M50" s="137"/>
      <c r="N50" s="149">
        <v>12001</v>
      </c>
      <c r="O50" s="177">
        <v>32000</v>
      </c>
      <c r="P50" s="187" t="s">
        <v>83</v>
      </c>
      <c r="Q50" s="201">
        <f>B42*0.5+6000</f>
        <v>6000</v>
      </c>
      <c r="R50" s="115"/>
      <c r="U50" t="s">
        <v>288</v>
      </c>
      <c r="V50" s="85" t="str">
        <f>IF(OR(X46="～15",X46="16～18",X46="19～22",X46="23～64"),"〇","")</f>
        <v/>
      </c>
      <c r="W50" s="85">
        <f>IF(W48&lt;1300000,600000,IF(AND(W48&gt;=1300000,W48&lt;4100000),W48*0.25+275000,IF(AND(W48&gt;=4100000,W48&lt;7700000),W48*0.15+685000,IF(AND(W48&gt;=7700000,W48&lt;10000000),W48*0.05+1455000,IF(W48&gt;=10000000,1955000)))))</f>
        <v>600000</v>
      </c>
      <c r="X50" s="226" t="s">
        <v>282</v>
      </c>
      <c r="Y50" s="231">
        <f>控除額!I34</f>
        <v>0</v>
      </c>
      <c r="AA50" s="85"/>
    </row>
    <row r="51" spans="1:27" ht="13.5" customHeight="1">
      <c r="B51" s="96"/>
      <c r="M51" s="137"/>
      <c r="N51" s="149">
        <v>32001</v>
      </c>
      <c r="O51" s="177">
        <v>56000</v>
      </c>
      <c r="P51" s="187" t="s">
        <v>84</v>
      </c>
      <c r="Q51" s="201">
        <f>B42*0.25+14000</f>
        <v>14000</v>
      </c>
      <c r="R51" s="115">
        <f>ROUNDUP(IF(B42&lt;=O49,Q49,IF(AND(B42&gt;=N50,B42&lt;=O50),Q50,IF(AND(B42&gt;=N51,B42&lt;=O51),Q51,IF(B42&gt;=N52,Q52)))),0)</f>
        <v>0</v>
      </c>
      <c r="U51" t="s">
        <v>289</v>
      </c>
      <c r="V51" t="s">
        <v>87</v>
      </c>
      <c r="W51">
        <f>IF(Z52&lt;&gt;"特定親族特別",0,IF(AND(Y51&gt;$M$73,Y51&lt;=$N$73),$O$73,IF(AND(Y51&gt;$M$74,Y51&lt;=$N$74),$O$74,IF(AND(Y51&gt;$M$75,Y51&lt;=$N$75),$O$75,IF(AND(Y51&gt;$M$76,Y51&lt;=$N$76),$O$76,IF(AND(Y51&gt;$M$77,Y51&lt;=$N$77),$O$77,IF(AND(Y51&gt;$M$78,Y51&lt;=$N$78),$O$78,IF(AND(Y51&gt;$M$79,Y51&lt;=$N$79),$O$79,IF(AND(Y51&gt;$M$80,Y51&lt;=$N$80),$O$80,IF(AND(Y51&gt;$M$81,Y51&lt;=$N$81),$O$81,0))))))))))</f>
        <v>0</v>
      </c>
      <c r="X51" t="s">
        <v>19</v>
      </c>
      <c r="Y51" s="85">
        <f>Y47+Y48+Y49+Y50</f>
        <v>0</v>
      </c>
      <c r="AA51" s="85"/>
    </row>
    <row r="52" spans="1:27">
      <c r="A52" s="87" t="s">
        <v>219</v>
      </c>
      <c r="B52" s="97"/>
      <c r="D52" s="15" t="s">
        <v>231</v>
      </c>
      <c r="E52" s="85">
        <f>IF(B48&lt;=10000000,B5*0.028,IF(B48-B5&gt;10000000,B5*0.014,(10000000-(B48-B5))*0.028+(B5-(10000000-(B48-B5)))*0.014))</f>
        <v>0</v>
      </c>
      <c r="F52" s="85">
        <f>IF(B55&lt;=10000000,B5*0.1,IF(B55-B5&gt;10000000,B5*0.05,(10000000-(B55-B5))*0.1+(B5-(10000000-(B55-B5)))*0.05))</f>
        <v>0</v>
      </c>
      <c r="M52" s="138"/>
      <c r="N52" s="149">
        <v>56000</v>
      </c>
      <c r="O52" s="178" t="s">
        <v>35</v>
      </c>
      <c r="P52" s="187">
        <v>28000</v>
      </c>
      <c r="Q52" s="201">
        <v>28000</v>
      </c>
      <c r="R52" s="115"/>
      <c r="V52" t="s">
        <v>290</v>
      </c>
      <c r="W52" s="60">
        <f>IF(Z52&lt;&gt;"特定親族特別",0,IF(AND(Y51&gt;$Q$73,Y51&lt;=$R$73),$S$73,IF(AND(Y51&gt;$Q$74,Y51&lt;=$R$74),$S$74,IF(AND(Y51&gt;$Q$75,Y51&lt;=$R$75),$S$75,IF(AND(Y51&gt;$Q$76,Y51&lt;=$R$76),$S$76,IF(AND(Y51&gt;$Q$77,Y51&lt;=$R$77),$S$77,IF(AND(Y51&gt;$Q$78,Y51&lt;=$R$78),$S$78,IF(AND(Y51&gt;$Q$79,Y51&lt;=$R$79),$S$79,0))))))))</f>
        <v>0</v>
      </c>
      <c r="Z52" t="str">
        <f>IF(AND(X46="～15",Y51&lt;=580000),"16未満",IF(AND(OR(X46="16～18",X46="23～64",X46="65～69"),Y51&lt;=580000),"その他扶養",IF(AND(X46="70～(同居)",Y51&lt;=580000),"同居老人",IF(AND(X46="70～(別居)",Y51&lt;=580000),"別居老人",IF(AND(X46="19～22",Y51&lt;=580000),"特定扶養",IF(AND(X46="19～22",Y51&gt;580000,Y51&lt;=1230000),"特定親族特別","扶養対象外"))))))</f>
        <v>扶養対象外</v>
      </c>
      <c r="AA52" s="85">
        <f>IF(OR(Z52="扶養対象外",Z52="16未満"),0,IF(Z52="その他扶養",330000,IF(Z52="同居老人",450000,IF(Z52="別居老人",380000,IF(Z52="特定扶養",450000,IF(Z52="特定親族特別",W52))))))</f>
        <v>0</v>
      </c>
    </row>
    <row r="53" spans="1:27">
      <c r="A53" s="88" t="s">
        <v>191</v>
      </c>
      <c r="B53" s="98">
        <f>IF(控除額!P23="〇",0,'計算 (2)'!J7)</f>
        <v>0</v>
      </c>
      <c r="D53" s="15" t="s">
        <v>25</v>
      </c>
      <c r="F53" s="85">
        <f>控除額!C56</f>
        <v>0</v>
      </c>
      <c r="G53" s="85"/>
      <c r="M53" s="136" t="s">
        <v>78</v>
      </c>
      <c r="N53" s="149">
        <v>0</v>
      </c>
      <c r="O53" s="177">
        <v>12000</v>
      </c>
      <c r="P53" s="188"/>
      <c r="Q53" s="202">
        <f>B44</f>
        <v>0</v>
      </c>
      <c r="R53" s="115"/>
      <c r="AA53" s="85"/>
    </row>
    <row r="54" spans="1:27">
      <c r="A54" s="88" t="s">
        <v>217</v>
      </c>
      <c r="B54" s="98">
        <f>計算!F49+'計算 (3)'!B53</f>
        <v>950000</v>
      </c>
      <c r="D54" s="15"/>
      <c r="F54" s="85"/>
      <c r="G54" s="85"/>
      <c r="M54" s="137"/>
      <c r="N54" s="149">
        <v>12001</v>
      </c>
      <c r="O54" s="177">
        <v>32001</v>
      </c>
      <c r="P54" s="188" t="s">
        <v>83</v>
      </c>
      <c r="Q54" s="202">
        <f>B44*0.5+6000</f>
        <v>6000</v>
      </c>
      <c r="R54" s="115"/>
      <c r="S54" t="s">
        <v>76</v>
      </c>
      <c r="V54" t="s">
        <v>291</v>
      </c>
      <c r="W54" t="s">
        <v>186</v>
      </c>
      <c r="X54">
        <f>控除額!$F$34</f>
        <v>0</v>
      </c>
      <c r="Y54" s="85">
        <f>ROUNDDOWN(IF(W55&lt;=650999,0,IF(AND(W55&gt;=651000,W55&lt;=1899999),W55-650000,IF(AND(W55&gt;=1900000,W55&lt;=3599999),ROUNDDOWN(W55/4,-3)*2.8-80000,IF(AND(W55&gt;=3600000,W55&lt;=6599999),ROUNDDOWN(W55/4,-3)*3.2-440000,IF(AND(W55&gt;=6600000,W55&lt;=8499999),ROUNDDOWN(W55*0.9,0)-1100000,IF(W55&gt;=8500000,W55-1950000,0)))))),0)</f>
        <v>0</v>
      </c>
      <c r="AA54" s="85"/>
    </row>
    <row r="55" spans="1:27" ht="13.5" customHeight="1">
      <c r="A55" s="88" t="s">
        <v>91</v>
      </c>
      <c r="B55" s="98">
        <f>ROUNDDOWN(IF(B7-B54&lt;0,0,B7-B54),-3)</f>
        <v>0</v>
      </c>
      <c r="D55" s="101" t="s">
        <v>48</v>
      </c>
      <c r="E55" s="85">
        <f>IF(B48=0,0,B48-F49)</f>
        <v>0</v>
      </c>
      <c r="F55" s="85"/>
      <c r="G55" s="85"/>
      <c r="M55" s="137"/>
      <c r="N55" s="149">
        <v>32000</v>
      </c>
      <c r="O55" s="177">
        <v>56000</v>
      </c>
      <c r="P55" s="187" t="s">
        <v>84</v>
      </c>
      <c r="Q55" s="201">
        <f>B44*0.25+14000</f>
        <v>14000</v>
      </c>
      <c r="R55" s="115">
        <f>ROUNDUP(IF(B44&lt;=O53,Q53,IF(AND(B44&gt;=N54,B44&lt;=O54),Q54,IF(AND(B44&gt;=N55,B44&lt;=O55),Q55,IF(B44&gt;=N56,Q56)))),0)</f>
        <v>0</v>
      </c>
      <c r="S55">
        <f>R55</f>
        <v>0</v>
      </c>
      <c r="V55" t="s">
        <v>5</v>
      </c>
      <c r="W55" s="85">
        <f>控除額!$G$34</f>
        <v>0</v>
      </c>
      <c r="X55" t="s">
        <v>12</v>
      </c>
      <c r="Y55" s="85">
        <f>IF(Y57&gt;0,Y54-Y57,Y54)</f>
        <v>0</v>
      </c>
      <c r="AA55" s="85"/>
    </row>
    <row r="56" spans="1:27" ht="14.25">
      <c r="A56" s="89" t="s">
        <v>235</v>
      </c>
      <c r="B56" s="98">
        <f>IF(AND(B55&gt;=M24,B55&lt;=N24),B55*0.05,IF(AND(B55&gt;=M25,B55&lt;=N25),B55*0.1-97500,IF(AND(B55&gt;=M26,B55&lt;=N26),B55*0.2-427500,IF(AND(B55&gt;=M27,B55&lt;=N27),B55*0.23-636000,IF(AND(B55&gt;=M28,B55&lt;=N28),B55*0.33-1536000,IF(AND(B55&gt;=M29,B55&lt;=N29),B55*0.4-2796000,IF(B55&gt;=M30,B55*0.45-4796000,0)))))))</f>
        <v>0</v>
      </c>
      <c r="D56" s="15" t="s">
        <v>102</v>
      </c>
      <c r="E56" s="85">
        <f>ROUNDDOWN(IF(B7-F50&lt;0,0,B7-F50),-3)</f>
        <v>0</v>
      </c>
      <c r="F56" s="85"/>
      <c r="G56" s="85"/>
      <c r="M56" s="139"/>
      <c r="N56" s="150">
        <v>56001</v>
      </c>
      <c r="O56" s="161" t="s">
        <v>35</v>
      </c>
      <c r="P56" s="189">
        <v>28000</v>
      </c>
      <c r="Q56" s="203">
        <v>28000</v>
      </c>
      <c r="V56" t="s">
        <v>112</v>
      </c>
      <c r="W56" s="85">
        <f>控除額!$H$34</f>
        <v>0</v>
      </c>
      <c r="X56" t="s">
        <v>125</v>
      </c>
      <c r="Y56" s="85">
        <f>MAX(IF(V57="〇",W56-W57,IF(V58="〇",W56-W58)),0)</f>
        <v>0</v>
      </c>
      <c r="AA56" s="85"/>
    </row>
    <row r="57" spans="1:27">
      <c r="A57" s="89" t="s">
        <v>236</v>
      </c>
      <c r="B57" s="98">
        <f>B56-B59-B58</f>
        <v>0</v>
      </c>
      <c r="U57" t="s">
        <v>128</v>
      </c>
      <c r="V57" s="85" t="str">
        <f>IF(OR(X54="65～69",X54="70～(同居)",X54="70～(別居)"),"〇","")</f>
        <v/>
      </c>
      <c r="W57" s="85">
        <f>IF(W56&lt;3300000,1100000,IF(AND(W56&gt;=3300000,W56&lt;4100000),W56*0.25+275000,IF(AND(W56&gt;=4100000,W56&lt;7700000),W56*0.15+685000,IF(AND(W56&gt;=7700000,W56&lt;10000000),W56*0.05+1455000,IF(W56&gt;=10000000,1955000,0)))))</f>
        <v>1100000</v>
      </c>
      <c r="X57" t="s">
        <v>285</v>
      </c>
      <c r="Y57" s="85">
        <f>MAX(IF(Y56&gt;=100000,100000,Y56)+IF(Y54&gt;=100000,100000,Y54)-100000,0)</f>
        <v>0</v>
      </c>
      <c r="AA57" s="85"/>
    </row>
    <row r="58" spans="1:27">
      <c r="A58" s="89" t="s">
        <v>240</v>
      </c>
      <c r="B58" s="98">
        <f>F52</f>
        <v>0</v>
      </c>
      <c r="S58" t="s">
        <v>90</v>
      </c>
      <c r="U58" t="s">
        <v>288</v>
      </c>
      <c r="V58" s="85" t="str">
        <f>IF(OR(X54="～15",X54="16～18",X54="19～22",X54="23～64"),"〇","")</f>
        <v/>
      </c>
      <c r="W58" s="85">
        <f>IF(W56&lt;1300000,600000,IF(AND(W56&gt;=1300000,W56&lt;4100000),W56*0.25+275000,IF(AND(W56&gt;=4100000,W56&lt;7700000),W56*0.15+685000,IF(AND(W56&gt;=7700000,W56&lt;10000000),W56*0.05+1455000,IF(W56&gt;=10000000,1955000)))))</f>
        <v>600000</v>
      </c>
      <c r="X58" s="226" t="s">
        <v>282</v>
      </c>
      <c r="Y58" s="231">
        <f>控除額!I41</f>
        <v>0</v>
      </c>
      <c r="AA58" s="85"/>
    </row>
    <row r="59" spans="1:27">
      <c r="A59" s="89" t="s">
        <v>237</v>
      </c>
      <c r="B59" s="98">
        <f>IF(OR(B56-F53&lt;0,B56-B58&lt;0,B56-F53-B58&lt;0),0,B56-F53-B58)</f>
        <v>0</v>
      </c>
      <c r="S59">
        <f>IF(S39+S43+S55&lt;70000,S39+S43+S55,70000)</f>
        <v>0</v>
      </c>
      <c r="U59" t="s">
        <v>289</v>
      </c>
      <c r="V59" t="s">
        <v>87</v>
      </c>
      <c r="W59">
        <f>IF(Z60&lt;&gt;"特定親族特別",0,IF(AND(Y59&gt;$M$73,Y59&lt;=$N$73),$O$73,IF(AND(Y59&gt;$M$74,Y59&lt;=$N$74),$O$74,IF(AND(Y59&gt;$M$75,Y59&lt;=$N$75),$O$75,IF(AND(Y59&gt;$M$76,Y59&lt;=$N$76),$O$76,IF(AND(Y59&gt;$M$77,Y59&lt;=$N$77),$O$77,IF(AND(Y59&gt;$M$78,Y59&lt;=$N$78),$O$78,IF(AND(Y59&gt;$M$79,Y59&lt;=$N$79),$O$79,IF(AND(Y59&gt;$M$80,Y59&lt;=$N$80),$O$80,IF(AND(Y59&gt;$M$81,Y59&lt;=$N$81),$O$81,0))))))))))</f>
        <v>0</v>
      </c>
      <c r="X59" t="s">
        <v>19</v>
      </c>
      <c r="Y59" s="85">
        <f>Y55+Y56+Y57+Y58</f>
        <v>0</v>
      </c>
      <c r="AA59" s="85"/>
    </row>
    <row r="60" spans="1:27" ht="14.25">
      <c r="A60" s="90" t="s">
        <v>238</v>
      </c>
      <c r="B60" s="99">
        <f>ROUNDDOWN(B59*0.021,0)</f>
        <v>0</v>
      </c>
      <c r="D60" s="86" t="s">
        <v>255</v>
      </c>
      <c r="E60" s="85">
        <f>B64-計算!B51</f>
        <v>0</v>
      </c>
      <c r="M60" s="60" t="s">
        <v>134</v>
      </c>
      <c r="V60" t="s">
        <v>290</v>
      </c>
      <c r="W60" s="60">
        <f>IF(Z60&lt;&gt;"特定親族特別",0,IF(AND(Y59&gt;$Q$73,Y59&lt;=$R$73),$S$73,IF(AND(Y59&gt;$Q$74,Y59&lt;=$R$74),$S$74,IF(AND(Y59&gt;$Q$75,Y59&lt;=$R$75),$S$75,IF(AND(Y59&gt;$Q$76,Y59&lt;=$R$76),$S$76,IF(AND(Y59&gt;$Q$77,Y59&lt;=$R$77),$S$77,IF(AND(Y59&gt;$Q$78,Y59&lt;=$R$78),$S$78,IF(AND(Y59&gt;$Q$79,Y59&lt;=$R$79),$S$79,0))))))))</f>
        <v>0</v>
      </c>
      <c r="Z60" t="str">
        <f>IF(AND(X54="～15",Y59&lt;=580000),"16未満",IF(AND(OR(X54="16～18",X54="23～64",X54="65～69"),Y59&lt;=580000),"その他扶養",IF(AND(X54="70～(同居)",Y59&lt;=580000),"同居老人",IF(AND(X54="70～(別居)",Y59&lt;=580000),"別居老人",IF(AND(X54="19～22",Y59&lt;=580000),"特定扶養",IF(AND(X54="19～22",Y59&gt;580000,Y59&lt;=1230000),"特定親族特別","扶養対象外"))))))</f>
        <v>扶養対象外</v>
      </c>
      <c r="AA60" s="85">
        <f>IF(OR(Z60="扶養対象外",Z60="16未満"),0,IF(Z60="その他扶養",330000,IF(Z60="同居老人",450000,IF(Z60="別居老人",380000,IF(Z60="特定扶養",450000,IF(Z60="特定親族特別",W60))))))</f>
        <v>0</v>
      </c>
    </row>
    <row r="61" spans="1:27" ht="14.25">
      <c r="A61" s="89" t="s">
        <v>87</v>
      </c>
      <c r="B61" s="98">
        <f>B59+B60</f>
        <v>0</v>
      </c>
      <c r="D61" s="102"/>
      <c r="M61" s="140" t="s">
        <v>5</v>
      </c>
      <c r="N61" s="159"/>
      <c r="O61" s="179" t="s">
        <v>197</v>
      </c>
      <c r="AA61" s="85"/>
    </row>
    <row r="62" spans="1:27">
      <c r="A62" s="91"/>
      <c r="B62" s="98"/>
      <c r="D62" s="102"/>
      <c r="M62" s="141">
        <v>0</v>
      </c>
      <c r="N62" s="160">
        <v>2000000</v>
      </c>
      <c r="O62" s="180">
        <f>480000+100000+370000</f>
        <v>950000</v>
      </c>
      <c r="V62" t="s">
        <v>64</v>
      </c>
      <c r="W62" t="s">
        <v>186</v>
      </c>
      <c r="X62">
        <f>控除額!$F$35</f>
        <v>0</v>
      </c>
      <c r="Y62" s="85">
        <f>ROUNDDOWN(IF(W63&lt;=650999,0,IF(AND(W63&gt;=651000,W63&lt;=1899999),W63-650000,IF(AND(W63&gt;=1900000,W63&lt;=3599999),ROUNDDOWN(W63/4,-3)*2.8-80000,IF(AND(W63&gt;=3600000,W63&lt;=6599999),ROUNDDOWN(W63/4,-3)*3.2-440000,IF(AND(W63&gt;=6600000,W63&lt;=8499999),ROUNDDOWN(W63*0.9,0)-1100000,IF(W63&gt;=8500000,W63-1950000,0)))))),0)</f>
        <v>0</v>
      </c>
      <c r="AA62" s="85"/>
    </row>
    <row r="63" spans="1:27">
      <c r="A63" s="88" t="s">
        <v>192</v>
      </c>
      <c r="B63" s="98">
        <f>IF(E34=1,0,IF(AND(E31+E32=0,B7&lt;=450000),0,IF(AND(OR(E31&gt;=1,E32&gt;=1),B7&lt;=E33*350000+420000),0,B48*0.1-B49)))</f>
        <v>0</v>
      </c>
      <c r="D63" s="102"/>
      <c r="M63" s="141">
        <v>2000001</v>
      </c>
      <c r="N63" s="160">
        <v>4750000</v>
      </c>
      <c r="O63" s="180">
        <f>480000+100000+300000</f>
        <v>880000</v>
      </c>
      <c r="V63" t="s">
        <v>5</v>
      </c>
      <c r="W63" s="85">
        <f>控除額!$G$35</f>
        <v>0</v>
      </c>
      <c r="X63" t="s">
        <v>12</v>
      </c>
      <c r="Y63" s="85">
        <f>IF(Y65&gt;0,Y62-Y65,Y62)</f>
        <v>0</v>
      </c>
      <c r="AA63" s="85"/>
    </row>
    <row r="64" spans="1:27">
      <c r="A64" s="88" t="s">
        <v>29</v>
      </c>
      <c r="B64" s="98">
        <f>ROUNDUP(IF(F53-B56&lt;=0,0,MIN(C64,F53-B57)),0)</f>
        <v>0</v>
      </c>
      <c r="C64" s="85">
        <f>IF(OR(控除額!C57="平成26年3月以前",控除額!C57="令和4年1月以降(4年中に契約)"),MIN(B55*0.05,97500),IF(OR(控除額!C57="平成26年4月以降",控除額!C57="令和4年1月以降(契約は3年中)"),MIN(B55*0.07,136500),0))</f>
        <v>0</v>
      </c>
      <c r="D64" s="102"/>
      <c r="M64" s="141">
        <v>4750001</v>
      </c>
      <c r="N64" s="160">
        <v>6650000</v>
      </c>
      <c r="O64" s="180">
        <f>480000+100000+100000</f>
        <v>680000</v>
      </c>
      <c r="V64" t="s">
        <v>112</v>
      </c>
      <c r="W64" s="85">
        <f>控除額!$H$35</f>
        <v>0</v>
      </c>
      <c r="X64" t="s">
        <v>125</v>
      </c>
      <c r="Y64" s="85">
        <f>MAX(IF(V65="〇",W64-W65,IF(V66="〇",W64-W66)),0)</f>
        <v>0</v>
      </c>
      <c r="AA64" s="85"/>
    </row>
    <row r="65" spans="1:27">
      <c r="A65" s="92" t="s">
        <v>222</v>
      </c>
      <c r="B65" s="98">
        <f>IF(控除額!P23="〇",計算!I30,'計算 (2)'!I6+'計算 (2)'!I8)</f>
        <v>0</v>
      </c>
      <c r="D65" s="102"/>
      <c r="M65" s="141">
        <v>6650001</v>
      </c>
      <c r="N65" s="160">
        <v>8500000</v>
      </c>
      <c r="O65" s="180">
        <f>480000+100000+50000</f>
        <v>630000</v>
      </c>
      <c r="U65" t="s">
        <v>128</v>
      </c>
      <c r="V65" s="85" t="str">
        <f>IF(OR(X62="65～69",X62="70～(同居)",X62="70～(別居)"),"〇","")</f>
        <v/>
      </c>
      <c r="W65" s="85">
        <f>IF(W64&lt;3300000,1100000,IF(AND(W64&gt;=3300000,W64&lt;4100000),W64*0.25+275000,IF(AND(W64&gt;=4100000,W64&lt;7700000),W64*0.15+685000,IF(AND(W64&gt;=7700000,W64&lt;10000000),W64*0.05+1455000,IF(W64&gt;=10000000,1955000,0)))))</f>
        <v>1100000</v>
      </c>
      <c r="X65" t="s">
        <v>285</v>
      </c>
      <c r="Y65" s="85">
        <f>MAX(IF(Y64&gt;=100000,100000,Y64)+IF(Y62&gt;=100000,100000,Y62)-100000,0)</f>
        <v>0</v>
      </c>
      <c r="AA65" s="85"/>
    </row>
    <row r="66" spans="1:27">
      <c r="A66" s="88" t="s">
        <v>220</v>
      </c>
      <c r="B66" s="98">
        <f>B49</f>
        <v>0</v>
      </c>
      <c r="D66" s="102"/>
      <c r="M66" s="141">
        <v>8500001</v>
      </c>
      <c r="N66" s="160">
        <v>25450000</v>
      </c>
      <c r="O66" s="180">
        <f>480000+100000</f>
        <v>580000</v>
      </c>
      <c r="U66" t="s">
        <v>288</v>
      </c>
      <c r="V66" s="85" t="str">
        <f>IF(OR(X62="～15",X62="16～18",X62="19～22",X62="23～64"),"〇","")</f>
        <v/>
      </c>
      <c r="W66" s="85">
        <f>IF(W64&lt;1300000,600000,IF(AND(W64&gt;=1300000,W64&lt;4100000),W64*0.25+275000,IF(AND(W64&gt;=4100000,W64&lt;7700000),W64*0.15+685000,IF(AND(W64&gt;=7700000,W64&lt;10000000),W64*0.05+1455000,IF(W64&gt;=10000000,1955000)))))</f>
        <v>600000</v>
      </c>
      <c r="X66" s="226" t="s">
        <v>282</v>
      </c>
      <c r="Y66" s="231">
        <f>控除額!I49</f>
        <v>0</v>
      </c>
      <c r="AA66" s="85"/>
    </row>
    <row r="67" spans="1:27">
      <c r="A67" s="88" t="s">
        <v>137</v>
      </c>
      <c r="B67" s="98">
        <f>IF(B63=0,0,B63-B64-B65-E52)</f>
        <v>0</v>
      </c>
      <c r="D67" s="102"/>
      <c r="M67" s="141">
        <v>25450001</v>
      </c>
      <c r="N67" s="160">
        <v>99999999</v>
      </c>
      <c r="O67" s="180">
        <v>0</v>
      </c>
      <c r="U67" t="s">
        <v>289</v>
      </c>
      <c r="V67" t="s">
        <v>87</v>
      </c>
      <c r="W67">
        <f>IF(Z68&lt;&gt;"特定親族特別",0,IF(AND(Y67&gt;$M$73,Y67&lt;=$N$73),$O$73,IF(AND(Y67&gt;$M$74,Y67&lt;=$N$74),$O$74,IF(AND(Y67&gt;$M$75,Y67&lt;=$N$75),$O$75,IF(AND(Y67&gt;$M$76,Y67&lt;=$N$76),$O$76,IF(AND(Y67&gt;$M$77,Y67&lt;=$N$77),$O$77,IF(AND(Y67&gt;$M$78,Y67&lt;=$N$78),$O$78,IF(AND(Y67&gt;$M$79,Y67&lt;=$N$79),$O$79,IF(AND(Y67&gt;$M$80,Y67&lt;=$N$80),$O$80,IF(AND(Y67&gt;$M$81,Y67&lt;=$N$81),$O$81,0))))))))))</f>
        <v>0</v>
      </c>
      <c r="X67" t="s">
        <v>19</v>
      </c>
      <c r="Y67" s="85">
        <f>Y63+Y64+Y65+Y66</f>
        <v>0</v>
      </c>
      <c r="AA67" s="85"/>
    </row>
    <row r="68" spans="1:27" ht="14.25">
      <c r="A68" s="93" t="s">
        <v>37</v>
      </c>
      <c r="B68" s="99">
        <f>IF(E34=1,0,IF(AND(E32+E31=0,B7&lt;=380000),0,IF(AND(OR(E32&gt;=1,E31&gt;=1),B7&lt;=E33*280000+270000),0,5000)))</f>
        <v>0</v>
      </c>
      <c r="D68" s="102"/>
      <c r="M68" s="142"/>
      <c r="N68" s="161"/>
      <c r="O68" s="181"/>
      <c r="V68" t="s">
        <v>290</v>
      </c>
      <c r="W68" s="60">
        <f>IF(Z68&lt;&gt;"特定親族特別",0,IF(AND(Y67&gt;$Q$73,Y67&lt;=$R$73),$S$73,IF(AND(Y67&gt;$Q$74,Y67&lt;=$R$74),$S$74,IF(AND(Y67&gt;$Q$75,Y67&lt;=$R$75),$S$75,IF(AND(Y67&gt;$Q$76,Y67&lt;=$R$76),$S$76,IF(AND(Y67&gt;$Q$77,Y67&lt;=$R$77),$S$77,IF(AND(Y67&gt;$Q$78,Y67&lt;=$R$78),$S$78,IF(AND(Y67&gt;$Q$79,Y67&lt;=$R$79),$S$79,0))))))))</f>
        <v>0</v>
      </c>
      <c r="Z68" t="str">
        <f>IF(AND(X62="～15",Y67&lt;=580000),"16未満",IF(AND(OR(X62="16～18",X62="23～64",X62="65～69"),Y67&lt;=580000),"その他扶養",IF(AND(X62="70～(同居)",Y67&lt;=580000),"同居老人",IF(AND(X62="70～(別居)",Y67&lt;=580000),"別居老人",IF(AND(X62="19～22",Y67&lt;=580000),"特定扶養",IF(AND(X62="19～22",Y67&gt;580000,Y67&lt;=1230000),"特定親族特別","扶養対象外"))))))</f>
        <v>扶養対象外</v>
      </c>
      <c r="AA68" s="85">
        <f>IF(OR(Z68="扶養対象外",Z68="16未満"),0,IF(Z68="その他扶養",330000,IF(Z68="同居老人",450000,IF(Z68="別居老人",380000,IF(Z68="特定扶養",450000,IF(Z68="特定親族特別",W68))))))</f>
        <v>0</v>
      </c>
    </row>
    <row r="69" spans="1:27" ht="14.25">
      <c r="A69" s="94" t="s">
        <v>70</v>
      </c>
      <c r="B69" s="100">
        <f>B67+B68</f>
        <v>0</v>
      </c>
      <c r="D69" s="102"/>
      <c r="AA69" s="85"/>
    </row>
    <row r="70" spans="1:27">
      <c r="D70" s="102"/>
      <c r="V70" t="s">
        <v>36</v>
      </c>
      <c r="W70" t="s">
        <v>186</v>
      </c>
      <c r="X70">
        <f>控除額!$F$36</f>
        <v>0</v>
      </c>
      <c r="Y70" s="85">
        <f>ROUNDDOWN(IF(W71&lt;=650999,0,IF(AND(W71&gt;=651000,W71&lt;=1899999),W71-650000,IF(AND(W71&gt;=1900000,W71&lt;=3599999),ROUNDDOWN(W71/4,-3)*2.8-80000,IF(AND(W71&gt;=3600000,W71&lt;=6599999),ROUNDDOWN(W71/4,-3)*3.2-440000,IF(AND(W71&gt;=6600000,W71&lt;=8499999),ROUNDDOWN(W71*0.9,0)-1100000,IF(W71&gt;=8500000,W71-1950000,0)))))),0)</f>
        <v>0</v>
      </c>
      <c r="AA70" s="85"/>
    </row>
    <row r="71" spans="1:27">
      <c r="D71" s="102"/>
      <c r="V71" t="s">
        <v>5</v>
      </c>
      <c r="W71" s="85">
        <f>控除額!$G$36</f>
        <v>0</v>
      </c>
      <c r="X71" t="s">
        <v>12</v>
      </c>
      <c r="Y71" s="85">
        <f>IF(Y73&gt;0,Y70-Y73,Y70)</f>
        <v>0</v>
      </c>
      <c r="AA71" s="85"/>
    </row>
    <row r="72" spans="1:27">
      <c r="M72" t="s">
        <v>284</v>
      </c>
      <c r="Q72" t="s">
        <v>274</v>
      </c>
      <c r="V72" t="s">
        <v>112</v>
      </c>
      <c r="W72" s="85">
        <f>控除額!$H$36</f>
        <v>0</v>
      </c>
      <c r="X72" t="s">
        <v>125</v>
      </c>
      <c r="Y72" s="85">
        <f>MAX(IF(V73="〇",W72-W73,IF(V74="〇",W72-W74)),0)</f>
        <v>0</v>
      </c>
      <c r="AA72" s="85"/>
    </row>
    <row r="73" spans="1:27">
      <c r="M73" s="143">
        <v>580000</v>
      </c>
      <c r="N73" s="162">
        <v>850000</v>
      </c>
      <c r="O73" s="145">
        <v>630000</v>
      </c>
      <c r="Q73" s="143">
        <v>580000</v>
      </c>
      <c r="R73" s="162">
        <v>950000</v>
      </c>
      <c r="S73" s="145">
        <v>450000</v>
      </c>
      <c r="U73" t="s">
        <v>128</v>
      </c>
      <c r="V73" s="85" t="str">
        <f>IF(OR(X70="65～69",X70="70～(同居)",X70="70～(別居)"),"〇","")</f>
        <v/>
      </c>
      <c r="W73" s="85">
        <f>IF(W72&lt;3300000,1100000,IF(AND(W72&gt;=3300000,W72&lt;4100000),W72*0.25+275000,IF(AND(W72&gt;=4100000,W72&lt;7700000),W72*0.15+685000,IF(AND(W72&gt;=7700000,W72&lt;10000000),W72*0.05+1455000,IF(W72&gt;=10000000,1955000,0)))))</f>
        <v>1100000</v>
      </c>
      <c r="X73" t="s">
        <v>285</v>
      </c>
      <c r="Y73" s="85">
        <f>MAX(IF(Y72&gt;=100000,100000,Y72)+IF(Y70&gt;=100000,100000,Y70)-100000,0)</f>
        <v>0</v>
      </c>
      <c r="AA73" s="85"/>
    </row>
    <row r="74" spans="1:27">
      <c r="M74" s="143">
        <v>850000</v>
      </c>
      <c r="N74" s="162">
        <v>900000</v>
      </c>
      <c r="O74" s="145">
        <v>610000</v>
      </c>
      <c r="Q74" s="143">
        <v>950000</v>
      </c>
      <c r="R74" s="162">
        <v>1000000</v>
      </c>
      <c r="S74" s="145">
        <v>410000</v>
      </c>
      <c r="U74" t="s">
        <v>288</v>
      </c>
      <c r="V74" s="85" t="str">
        <f>IF(OR(X70="～15",X70="16～18",X70="19～22",X70="23～64"),"〇","")</f>
        <v/>
      </c>
      <c r="W74" s="85">
        <f>IF(W72&lt;1300000,600000,IF(AND(W72&gt;=1300000,W72&lt;4100000),W72*0.25+275000,IF(AND(W72&gt;=4100000,W72&lt;7700000),W72*0.15+685000,IF(AND(W72&gt;=7700000,W72&lt;10000000),W72*0.05+1455000,IF(W72&gt;=10000000,1955000)))))</f>
        <v>600000</v>
      </c>
      <c r="X74" s="226" t="s">
        <v>282</v>
      </c>
      <c r="Y74" s="231">
        <f>控除額!I57</f>
        <v>0</v>
      </c>
      <c r="AA74" s="85"/>
    </row>
    <row r="75" spans="1:27">
      <c r="M75" s="143">
        <v>900000</v>
      </c>
      <c r="N75" s="162">
        <v>950000</v>
      </c>
      <c r="O75" s="145">
        <v>510000</v>
      </c>
      <c r="Q75" s="143">
        <v>1000000</v>
      </c>
      <c r="R75" s="162">
        <v>1050000</v>
      </c>
      <c r="S75" s="145">
        <v>310000</v>
      </c>
      <c r="U75" t="s">
        <v>289</v>
      </c>
      <c r="V75" t="s">
        <v>87</v>
      </c>
      <c r="W75">
        <f>IF(Z76&lt;&gt;"特定親族特別",0,IF(AND(Y75&gt;$M$73,Y75&lt;=$N$73),$O$73,IF(AND(Y75&gt;$M$74,Y75&lt;=$N$74),$O$74,IF(AND(Y75&gt;$M$75,Y75&lt;=$N$75),$O$75,IF(AND(Y75&gt;$M$76,Y75&lt;=$N$76),$O$76,IF(AND(Y75&gt;$M$77,Y75&lt;=$N$77),$O$77,IF(AND(Y75&gt;$M$78,Y75&lt;=$N$78),$O$78,IF(AND(Y75&gt;$M$79,Y75&lt;=$N$79),$O$79,IF(AND(Y75&gt;$M$80,Y75&lt;=$N$80),$O$80,IF(AND(Y75&gt;$M$81,Y75&lt;=$N$81),$O$81,0))))))))))</f>
        <v>0</v>
      </c>
      <c r="X75" t="s">
        <v>19</v>
      </c>
      <c r="Y75" s="85">
        <f>Y71+Y72+Y73+Y74</f>
        <v>0</v>
      </c>
      <c r="AA75" s="85"/>
    </row>
    <row r="76" spans="1:27">
      <c r="M76" s="143">
        <v>950000</v>
      </c>
      <c r="N76" s="162">
        <v>1000000</v>
      </c>
      <c r="O76" s="145">
        <v>410000</v>
      </c>
      <c r="Q76" s="143">
        <v>1050000</v>
      </c>
      <c r="R76" s="162">
        <v>1100000</v>
      </c>
      <c r="S76" s="145">
        <v>210000</v>
      </c>
      <c r="V76" t="s">
        <v>290</v>
      </c>
      <c r="W76" s="60">
        <f>IF(Z76&lt;&gt;"特定親族特別",0,IF(AND(Y75&gt;$Q$73,Y75&lt;=$R$73),$S$73,IF(AND(Y75&gt;$Q$74,Y75&lt;=$R$74),$S$74,IF(AND(Y75&gt;$Q$75,Y75&lt;=$R$75),$S$75,IF(AND(Y75&gt;$Q$76,Y75&lt;=$R$76),$S$76,IF(AND(Y75&gt;$Q$77,Y75&lt;=$R$77),$S$77,IF(AND(Y75&gt;$Q$78,Y75&lt;=$R$78),$S$78,IF(AND(Y75&gt;$Q$79,Y75&lt;=$R$79),$S$79,0))))))))</f>
        <v>0</v>
      </c>
      <c r="Z76" t="str">
        <f>IF(AND(X70="～15",Y75&lt;=580000),"16未満",IF(AND(OR(X70="16～18",X70="23～64",X70="65～69"),Y75&lt;=580000),"その他扶養",IF(AND(X70="70～(同居)",Y75&lt;=580000),"同居老人",IF(AND(X70="70～(別居)",Y75&lt;=580000),"別居老人",IF(AND(X70="19～22",Y75&lt;=580000),"特定扶養",IF(AND(X70="19～22",Y75&gt;580000,Y75&lt;=1230000),"特定親族特別","扶養対象外"))))))</f>
        <v>扶養対象外</v>
      </c>
      <c r="AA76" s="85">
        <f>IF(OR(Z76="扶養対象外",Z76="16未満"),0,IF(Z76="その他扶養",330000,IF(Z76="同居老人",450000,IF(Z76="別居老人",380000,IF(Z76="特定扶養",450000,IF(Z76="特定親族特別",W76))))))</f>
        <v>0</v>
      </c>
    </row>
    <row r="77" spans="1:27">
      <c r="M77" s="143">
        <v>1000000</v>
      </c>
      <c r="N77" s="162">
        <v>1050000</v>
      </c>
      <c r="O77" s="145">
        <v>310000</v>
      </c>
      <c r="Q77" s="143">
        <v>1100000</v>
      </c>
      <c r="R77" s="162">
        <v>1150000</v>
      </c>
      <c r="S77" s="145">
        <v>110000</v>
      </c>
      <c r="AA77" s="85"/>
    </row>
    <row r="78" spans="1:27">
      <c r="M78" s="143">
        <v>1050000</v>
      </c>
      <c r="N78" s="162">
        <v>1100000</v>
      </c>
      <c r="O78" s="145">
        <v>210000</v>
      </c>
      <c r="Q78" s="143">
        <v>1150000</v>
      </c>
      <c r="R78" s="162">
        <v>1200000</v>
      </c>
      <c r="S78" s="145">
        <v>60000</v>
      </c>
      <c r="V78" t="s">
        <v>292</v>
      </c>
      <c r="W78" t="s">
        <v>186</v>
      </c>
      <c r="X78">
        <f>控除額!$F$37</f>
        <v>0</v>
      </c>
      <c r="Y78" s="85">
        <f>ROUNDDOWN(IF(W79&lt;=650999,0,IF(AND(W79&gt;=651000,W79&lt;=1899999),W79-650000,IF(AND(W79&gt;=1900000,W79&lt;=3599999),ROUNDDOWN(W79/4,-3)*2.8-80000,IF(AND(W79&gt;=3600000,W79&lt;=6599999),ROUNDDOWN(W79/4,-3)*3.2-440000,IF(AND(W79&gt;=6600000,W79&lt;=8499999),ROUNDDOWN(W79*0.9,0)-1100000,IF(W79&gt;=8500000,W79-1950000,0)))))),0)</f>
        <v>0</v>
      </c>
      <c r="AA78" s="85"/>
    </row>
    <row r="79" spans="1:27">
      <c r="M79" s="143">
        <v>1100000</v>
      </c>
      <c r="N79" s="162">
        <v>1150000</v>
      </c>
      <c r="O79" s="145">
        <v>110000</v>
      </c>
      <c r="Q79" s="143">
        <v>1200000</v>
      </c>
      <c r="R79" s="162">
        <v>1230000</v>
      </c>
      <c r="S79" s="145">
        <v>30000</v>
      </c>
      <c r="V79" t="s">
        <v>5</v>
      </c>
      <c r="W79" s="85">
        <f>控除額!$G$37</f>
        <v>0</v>
      </c>
      <c r="X79" t="s">
        <v>12</v>
      </c>
      <c r="Y79" s="85">
        <f>IF(Y81&gt;0,Y78-Y81,Y78)</f>
        <v>0</v>
      </c>
      <c r="AA79" s="85"/>
    </row>
    <row r="80" spans="1:27">
      <c r="M80" s="143">
        <v>1150000</v>
      </c>
      <c r="N80" s="162">
        <v>1200000</v>
      </c>
      <c r="O80" s="145">
        <v>60000</v>
      </c>
      <c r="V80" t="s">
        <v>112</v>
      </c>
      <c r="W80" s="85">
        <f>控除額!$H$37</f>
        <v>0</v>
      </c>
      <c r="X80" t="s">
        <v>125</v>
      </c>
      <c r="Y80" s="85">
        <f>MAX(IF(V81="〇",W80-W81,IF(V82="〇",W80-W82)),0)</f>
        <v>0</v>
      </c>
      <c r="AA80" s="85"/>
    </row>
    <row r="81" spans="13:27">
      <c r="M81" s="143">
        <v>1200000</v>
      </c>
      <c r="N81" s="162">
        <v>1230000</v>
      </c>
      <c r="O81" s="145">
        <v>30000</v>
      </c>
      <c r="U81" t="s">
        <v>128</v>
      </c>
      <c r="V81" s="85" t="str">
        <f>IF(OR(X78="65～69",X78="70～(同居)",X78="70～(別居)"),"〇","")</f>
        <v/>
      </c>
      <c r="W81" s="85">
        <f>IF(W80&lt;3300000,1100000,IF(AND(W80&gt;=3300000,W80&lt;4100000),W80*0.25+275000,IF(AND(W80&gt;=4100000,W80&lt;7700000),W80*0.15+685000,IF(AND(W80&gt;=7700000,W80&lt;10000000),W80*0.05+1455000,IF(W80&gt;=10000000,1955000,0)))))</f>
        <v>1100000</v>
      </c>
      <c r="X81" t="s">
        <v>285</v>
      </c>
      <c r="Y81" s="85">
        <f>MAX(IF(Y80&gt;=100000,100000,Y80)+IF(Y78&gt;=100000,100000,Y78)-100000,0)</f>
        <v>0</v>
      </c>
      <c r="AA81" s="85"/>
    </row>
    <row r="82" spans="13:27">
      <c r="U82" t="s">
        <v>288</v>
      </c>
      <c r="V82" s="85" t="str">
        <f>IF(OR(X78="～15",X78="16～18",X78="19～22",X78="23～64"),"〇","")</f>
        <v/>
      </c>
      <c r="W82" s="85">
        <f>IF(W80&lt;1300000,600000,IF(AND(W80&gt;=1300000,W80&lt;4100000),W80*0.25+275000,IF(AND(W80&gt;=4100000,W80&lt;7700000),W80*0.15+685000,IF(AND(W80&gt;=7700000,W80&lt;10000000),W80*0.05+1455000,IF(W80&gt;=10000000,1955000)))))</f>
        <v>600000</v>
      </c>
      <c r="X82" s="226" t="s">
        <v>282</v>
      </c>
      <c r="Y82" s="231">
        <f>控除額!I65</f>
        <v>0</v>
      </c>
      <c r="AA82" s="85"/>
    </row>
    <row r="83" spans="13:27">
      <c r="U83" t="s">
        <v>289</v>
      </c>
      <c r="V83" t="s">
        <v>87</v>
      </c>
      <c r="W83">
        <f>IF(Z84&lt;&gt;"特定親族特別",0,IF(AND(Y83&gt;$M$73,Y83&lt;=$N$73),$O$73,IF(AND(Y83&gt;$M$74,Y83&lt;=$N$74),$O$74,IF(AND(Y83&gt;$M$75,Y83&lt;=$N$75),$O$75,IF(AND(Y83&gt;$M$76,Y83&lt;=$N$76),$O$76,IF(AND(Y83&gt;$M$77,Y83&lt;=$N$77),$O$77,IF(AND(Y83&gt;$M$78,Y83&lt;=$N$78),$O$78,IF(AND(Y83&gt;$M$79,Y83&lt;=$N$79),$O$79,IF(AND(Y83&gt;$M$80,Y83&lt;=$N$80),$O$80,IF(AND(Y83&gt;$M$81,Y83&lt;=$N$81),$O$81,0))))))))))</f>
        <v>0</v>
      </c>
      <c r="X83" t="s">
        <v>19</v>
      </c>
      <c r="Y83" s="85">
        <f>Y79+Y80+Y81+Y82</f>
        <v>0</v>
      </c>
      <c r="AA83" s="85"/>
    </row>
    <row r="84" spans="13:27" ht="14.25">
      <c r="U84" s="221"/>
      <c r="V84" s="221" t="s">
        <v>290</v>
      </c>
      <c r="W84" s="221">
        <f>IF(Z84&lt;&gt;"特定親族特別",0,IF(AND(Y83&gt;$Q$73,Y83&lt;=$R$73),$S$73,IF(AND(Y83&gt;$Q$74,Y83&lt;=$R$74),$S$74,IF(AND(Y83&gt;$Q$75,Y83&lt;=$R$75),$S$75,IF(AND(Y83&gt;$Q$76,Y83&lt;=$R$76),$S$76,IF(AND(Y83&gt;$Q$77,Y83&lt;=$R$77),$S$77,IF(AND(Y83&gt;$Q$78,Y83&lt;=$R$78),$S$78,IF(AND(Y83&gt;$Q$79,Y83&lt;=$R$79),$S$79,0))))))))</f>
        <v>0</v>
      </c>
      <c r="X84" s="221"/>
      <c r="Y84" s="221"/>
      <c r="Z84" s="221" t="str">
        <f>IF(AND(X78="～15",Y83&lt;=580000),"16未満",IF(AND(OR(X78="16～18",X78="23～64",X78="65～69"),Y83&lt;=580000),"その他扶養",IF(AND(X78="70～(同居)",Y83&lt;=580000),"同居老人",IF(AND(X78="70～(別居)",Y83&lt;=580000),"別居老人",IF(AND(X78="19～22",Y83&lt;=580000),"特定扶養",IF(AND(X78="19～22",Y83&gt;580000,Y83&lt;=1230000),"特定親族特別","扶養対象外"))))))</f>
        <v>扶養対象外</v>
      </c>
      <c r="AA84" s="234">
        <f>IF(OR(Z84="扶養対象外",Z84="16未満"),0,IF(Z84="その他扶養",330000,IF(Z84="同居老人",450000,IF(Z84="別居老人",380000,IF(Z84="特定扶養",450000,IF(Z84="特定親族特別",W84))))))</f>
        <v>0</v>
      </c>
    </row>
    <row r="85" spans="13:27">
      <c r="Y85" t="s">
        <v>293</v>
      </c>
      <c r="Z85">
        <f>COUNTIF($Z$45:$Z$83,"16未満")</f>
        <v>0</v>
      </c>
      <c r="AA85" s="85">
        <f>SUMIF($Z$45:$Z$83,"16未満",$AA$45:$AA$83)</f>
        <v>0</v>
      </c>
    </row>
    <row r="86" spans="13:27">
      <c r="Y86" t="s">
        <v>294</v>
      </c>
      <c r="Z86">
        <f>COUNTIF($Z$45:$Z$83,"その他扶養")</f>
        <v>0</v>
      </c>
      <c r="AA86" s="85">
        <f>SUMIF($Z$45:$Z$83,"その他扶養",$AA$45:$AA$83)</f>
        <v>0</v>
      </c>
    </row>
    <row r="87" spans="13:27">
      <c r="Y87" t="s">
        <v>295</v>
      </c>
      <c r="Z87">
        <f>COUNTIF($Z$45:$Z$83,"同居老人")</f>
        <v>0</v>
      </c>
      <c r="AA87" s="85">
        <f>SUMIF($Z$45:$Z$83,"同居老人",$AA$45:$AA$83)</f>
        <v>0</v>
      </c>
    </row>
    <row r="88" spans="13:27">
      <c r="Y88" t="s">
        <v>296</v>
      </c>
      <c r="Z88">
        <f>COUNTIF($Z$45:$Z$83,"別居老人")</f>
        <v>0</v>
      </c>
      <c r="AA88" s="85">
        <f>SUMIF($Z$45:$Z$83,"別居老人",$AA$45:$AA$83)</f>
        <v>0</v>
      </c>
    </row>
    <row r="89" spans="13:27">
      <c r="Y89" t="s">
        <v>297</v>
      </c>
      <c r="Z89">
        <f>COUNTIF($Z$45:$Z$83,"特定扶養")</f>
        <v>0</v>
      </c>
      <c r="AA89" s="85">
        <f>SUMIF($Z$45:$Z$83,"特定扶養",$AA$45:$AA$83)</f>
        <v>0</v>
      </c>
    </row>
    <row r="90" spans="13:27">
      <c r="Y90" t="s">
        <v>148</v>
      </c>
      <c r="Z90" t="s">
        <v>87</v>
      </c>
      <c r="AA90" s="85">
        <f>W51+W59+W67+W75+W83</f>
        <v>0</v>
      </c>
    </row>
    <row r="91" spans="13:27">
      <c r="Z91" t="s">
        <v>290</v>
      </c>
      <c r="AA91" s="85">
        <f>W52+W60+W68+W76+W84</f>
        <v>0</v>
      </c>
    </row>
  </sheetData>
  <mergeCells count="14">
    <mergeCell ref="M13:M15"/>
    <mergeCell ref="U13:U15"/>
    <mergeCell ref="M16:M17"/>
    <mergeCell ref="U16:U18"/>
    <mergeCell ref="U19:U21"/>
    <mergeCell ref="U22:U24"/>
    <mergeCell ref="U25:U27"/>
    <mergeCell ref="M37:M40"/>
    <mergeCell ref="U37:U39"/>
    <mergeCell ref="U40:U41"/>
    <mergeCell ref="M41:M44"/>
    <mergeCell ref="M45:M48"/>
    <mergeCell ref="M49:M52"/>
    <mergeCell ref="M53:M56"/>
  </mergeCells>
  <phoneticPr fontId="1"/>
  <pageMargins left="0.7" right="0.7" top="0.75" bottom="0.75" header="0.3" footer="0.3"/>
  <pageSetup paperSize="9" scale="65" fitToWidth="0"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C91"/>
  <sheetViews>
    <sheetView topLeftCell="A12" workbookViewId="0">
      <selection activeCell="F37" sqref="F37"/>
    </sheetView>
  </sheetViews>
  <sheetFormatPr defaultRowHeight="13.5"/>
  <cols>
    <col min="1" max="1" width="26.25" customWidth="1"/>
    <col min="2" max="2" width="12.125" style="85" bestFit="1" customWidth="1"/>
    <col min="3" max="3" width="13.25" customWidth="1"/>
    <col min="4" max="4" width="20.625" style="86" customWidth="1"/>
    <col min="5" max="5" width="11.375" style="85" customWidth="1"/>
    <col min="6" max="6" width="16.875" customWidth="1"/>
    <col min="7" max="7" width="19.375" customWidth="1"/>
    <col min="8" max="8" width="20.375" style="85" customWidth="1"/>
    <col min="9" max="9" width="14.75" style="85" customWidth="1"/>
    <col min="10" max="10" width="13.75" style="85" customWidth="1"/>
    <col min="11" max="11" width="12.625" customWidth="1"/>
    <col min="12" max="12" width="13.5" customWidth="1"/>
    <col min="13" max="13" width="11.875" customWidth="1"/>
    <col min="14" max="14" width="12.625" customWidth="1"/>
    <col min="15" max="15" width="13.125" customWidth="1"/>
    <col min="16" max="16" width="10.5" customWidth="1"/>
    <col min="17" max="17" width="14" customWidth="1"/>
    <col min="18" max="18" width="12.5" customWidth="1"/>
    <col min="19" max="19" width="11.125" customWidth="1"/>
    <col min="24" max="24" width="11.875" customWidth="1"/>
    <col min="28" max="28" width="11.875" customWidth="1"/>
  </cols>
  <sheetData>
    <row r="1" spans="1:29">
      <c r="A1" t="s">
        <v>5</v>
      </c>
      <c r="B1" s="95">
        <f>控除額!C6</f>
        <v>0</v>
      </c>
      <c r="C1" s="85"/>
      <c r="D1" s="85"/>
      <c r="F1" s="85"/>
      <c r="G1" s="85"/>
    </row>
    <row r="2" spans="1:29" ht="14.25">
      <c r="A2" t="s">
        <v>12</v>
      </c>
      <c r="B2" s="85">
        <f>E6</f>
        <v>0</v>
      </c>
      <c r="C2" s="85"/>
      <c r="D2" s="85">
        <f>ROUNDDOWN(IF(B1&lt;=650999,0,IF(AND(B1&gt;=651000,B1&lt;=1899999),B1-650000,IF(AND(B1&gt;=1900000,B1&lt;=3599999),ROUNDDOWN(B1/4,-3)*2.8-80000,IF(AND(B1&gt;=3600000,B1&lt;=6599999),ROUNDDOWN(B1/4,-3)*3.2-440000,IF(AND(B1&gt;=6600000,B1&lt;=8499999),ROUNDDOWN(B1*0.9,0)-1100000,IF(B1&gt;=8500000,B1-1950000,0)))))),0)</f>
        <v>0</v>
      </c>
      <c r="F2" s="85"/>
      <c r="G2" s="85"/>
      <c r="H2" s="85" t="s">
        <v>122</v>
      </c>
      <c r="J2" s="254"/>
    </row>
    <row r="3" spans="1:29" ht="15">
      <c r="A3" t="s">
        <v>124</v>
      </c>
      <c r="B3" s="85">
        <f>控除額!C7</f>
        <v>0</v>
      </c>
      <c r="C3" s="85"/>
      <c r="D3" s="15" t="s">
        <v>128</v>
      </c>
      <c r="E3" s="85" t="str">
        <f>IF(控除額!D10="65歳以上","〇","")</f>
        <v/>
      </c>
      <c r="F3" s="85">
        <f>IF(B3&lt;3300000,1100000,IF(AND(B3&gt;=3300000,B3&lt;4100000),B3*0.25+275000,IF(AND(B3&gt;=4100000,B3&lt;7700000),B3*0.15+685000,IF(AND(B3&gt;=7700000,B3&lt;10000000),B3*0.05+1455000,IF(B3&gt;=10000000,1955000,0)))))</f>
        <v>1100000</v>
      </c>
      <c r="G3" s="85"/>
      <c r="H3" s="243"/>
      <c r="I3" s="248"/>
      <c r="J3" s="253"/>
    </row>
    <row r="4" spans="1:29" ht="15">
      <c r="A4" t="s">
        <v>125</v>
      </c>
      <c r="B4" s="85">
        <f>MAX(IF(E3="〇",B3-F3,IF(E4="〇",B3-F4)),0)</f>
        <v>0</v>
      </c>
      <c r="C4" s="85"/>
      <c r="D4" s="15" t="s">
        <v>7</v>
      </c>
      <c r="E4" s="85" t="str">
        <f>IF(控除額!D10="64歳以下","〇","")</f>
        <v/>
      </c>
      <c r="F4" s="85">
        <f>IF(B3&lt;1300000,600000,IF(AND(B3&gt;=1300000,B3&lt;4100000),B3*0.25+275000,IF(AND(B3&gt;=4100000,B3&lt;7700000),B3*0.15+685000,IF(AND(B3&gt;=7700000,B3&lt;10000000),B3*0.05+1455000,IF(B3&gt;=10000000,1955000)))))</f>
        <v>600000</v>
      </c>
      <c r="G4" s="85"/>
      <c r="H4" s="244" t="s">
        <v>119</v>
      </c>
      <c r="I4" s="249">
        <f>控除額!M17</f>
        <v>0</v>
      </c>
      <c r="J4" s="255">
        <f>IF(I4=0,0,I4-2000)</f>
        <v>0</v>
      </c>
    </row>
    <row r="5" spans="1:29" ht="14.25">
      <c r="A5" t="s">
        <v>230</v>
      </c>
      <c r="B5" s="85">
        <f>控除額!D8</f>
        <v>0</v>
      </c>
      <c r="C5" s="85"/>
      <c r="D5" s="15" t="s">
        <v>130</v>
      </c>
      <c r="E5" s="85">
        <f>MAX(IF(D2&gt;=100000,100000,D2)+IF(B4&gt;=100000,100000,B4)-100000,0)</f>
        <v>0</v>
      </c>
      <c r="F5" s="85">
        <f>IF(OR(B28&gt;0,B29&gt;0,B33+B32+B31&gt;0),(MIN(B1,10000000)-8500000)*0.1,0)</f>
        <v>0</v>
      </c>
      <c r="G5" s="85"/>
      <c r="H5" s="244"/>
      <c r="I5" s="250"/>
      <c r="J5" s="256"/>
      <c r="M5" t="s">
        <v>206</v>
      </c>
    </row>
    <row r="6" spans="1:29">
      <c r="A6" t="s">
        <v>69</v>
      </c>
      <c r="B6" s="85">
        <f>控除額!D9</f>
        <v>0</v>
      </c>
      <c r="C6" s="85"/>
      <c r="D6" s="15"/>
      <c r="E6" s="85">
        <f>IF(E5&gt;0,F6-E5,F6)</f>
        <v>0</v>
      </c>
      <c r="F6" s="85">
        <f>IF(F5&gt;0,D2-F5,D2)</f>
        <v>0</v>
      </c>
      <c r="G6" s="85"/>
      <c r="H6" s="244" t="s">
        <v>121</v>
      </c>
      <c r="I6" s="85">
        <f>IF(B68*0.2&gt;=J6,J6,IF(B68*0.2&lt;J6,B68*0.2,0))</f>
        <v>0</v>
      </c>
      <c r="J6" s="240">
        <f>ROUNDUP(IF(AND(B69&gt;=Q23,B69&lt;=R23),J4*84.895/100,IF(AND(B69&gt;=Q24,B69&lt;=R24),J4*79.79/100,IF(AND(B69&gt;=Q25,B69&lt;=R25),J4*69.58/100,IF(AND(B69&gt;=Q26,B69&lt;=R26),J4*66.517/100,IF(AND(B69&gt;=Q27,B69&lt;=R27),J4*56.307/100,IF(AND(B69&gt;=Q28,B69&lt;=R28),J4*49.16/100,IF(B69&gt;=Q29,J4*44.055/100,0))))))),0)</f>
        <v>0</v>
      </c>
      <c r="M6" s="112">
        <v>0</v>
      </c>
      <c r="N6" s="144">
        <v>1950000</v>
      </c>
      <c r="O6" s="163" t="s">
        <v>201</v>
      </c>
    </row>
    <row r="7" spans="1:29">
      <c r="A7" t="s">
        <v>46</v>
      </c>
      <c r="B7" s="85">
        <f>B6+B4+B2+B5</f>
        <v>0</v>
      </c>
      <c r="C7" s="85"/>
      <c r="D7" s="15"/>
      <c r="F7" s="85" t="s">
        <v>55</v>
      </c>
      <c r="G7" s="85" t="s">
        <v>89</v>
      </c>
      <c r="H7" s="244" t="s">
        <v>97</v>
      </c>
      <c r="I7" s="96">
        <f>ROUNDUP(IF(AND(B64&gt;=M24,B64&lt;=N24),J7*0.05*1.021,IF(AND(B64&gt;=M25,B64&lt;=N25),J7*0.1*1.021,IF(AND(B64&gt;=M26,B64&lt;=N26),J7*0.2*1.021,IF(AND(B64&gt;=M27,B64&lt;=N27),J7*0.23*1.021,IF(AND(B64&gt;=M28,B64&lt;=N28),J7*0.33*1.021,IF(AND(B64&gt;=M29,B64&lt;=N29),J7*0.4*1.021,IF(B64&gt;=M30,J7*0.45*1.021,0))))))),0)</f>
        <v>0</v>
      </c>
      <c r="J7" s="240">
        <f>IF(OR(B7=0,I4=0),0,MIN(I4,B7*0.4)-2000)</f>
        <v>0</v>
      </c>
      <c r="M7" s="113">
        <f>N6+1</f>
        <v>1950001</v>
      </c>
      <c r="N7" s="145">
        <v>3300000</v>
      </c>
      <c r="O7" s="164" t="s">
        <v>144</v>
      </c>
    </row>
    <row r="8" spans="1:29" ht="14.25">
      <c r="A8" t="s">
        <v>4</v>
      </c>
      <c r="B8" s="85">
        <f>控除額!C16</f>
        <v>0</v>
      </c>
      <c r="C8" s="85"/>
      <c r="D8" s="15" t="s">
        <v>57</v>
      </c>
      <c r="E8" s="85">
        <f>IF(B7&gt;10000000,0,IF(OR(AND(B7&lt;=9000000,B14&lt;=480000,OR(B18="〇",B17="〇")),AND(B7&lt;=9000000,B14&gt;480000,B14&lt;=1000000)),330000,IF(OR(AND(B7&gt;9000000,B7&lt;=9500000,B14&lt;=480000,OR(B17="〇",B18="〇")),AND(B7&gt;9000000,B7&lt;=9500000,B14&gt;480000,B14&lt;=1000000)),220000,IF(OR(AND(B7&gt;9500000,B7&lt;=10000000,B14&lt;=480000,OR(B17="〇",B18="〇")),AND(B7&gt;9500000,B7&lt;=10000000,B14&gt;480000,B14&lt;=1000000)),110000,IF(AND(B7&lt;=9000000,B14&lt;=480000,B19="〇"),380000,IF(AND(B7&gt;9000000,B7&lt;=9500000,B14&lt;=480000,B19="〇"),260000,IF(AND(B7&gt;9500000,B7&lt;=10000000,B14&lt;=480000,B19="〇"),130000,IF(AND(B7&lt;=9000000,B14&gt;1000000,B14&lt;=1050000),310000,IF(AND(B7&gt;9000000,B7&lt;=9500000,B14&gt;1000000,B14&lt;=1050000),210000,IF(AND(B7&gt;9500000,B7&lt;=10000000,B14&gt;1000000,B14&lt;=1050000),110000,IF(AND(B7&lt;=9000000,B14&gt;1050000,B14&lt;=1100000),260000,IF(AND(B7&gt;9000000,B7&lt;=9500000,B14&gt;1050000,B14&lt;=1100000),180000,IF(AND(B7&gt;9500000,B7&lt;=10000000,B14&gt;1050000,B14&lt;=1100000),90000,IF(AND(B7&lt;=9000000,B14&gt;1100000,B14&lt;=1150000),210000,IF(AND(B7&gt;9000000,B7&lt;=9500000,B14&gt;1100000,B14&lt;=1150000),140000,IF(AND(B7&gt;9500000,B7&lt;=10000000,B14&gt;1100000,B14&lt;=1150000),70000,IF(AND(B7&lt;=9000000,B14&gt;1150000,B14&lt;=1200000),160000,IF(AND(B7&gt;9000000,B7&lt;=9500000,B14&gt;1150000,B14&lt;=1200000),110000,IF(AND(B7&gt;9500000,B7&lt;=10000000,B14&gt;1150000,B14&lt;=1200000),60000,IF(AND(B7&lt;=9000000,B14&gt;1200000,B14&lt;=1250000),110000,IF(AND(B7&gt;9000000,B7&lt;=9500000,B14&gt;1200000,B14&lt;=1250000),80000,IF(AND(B7&gt;9500000,B7&lt;=10000000,B14&gt;1200000,B14&lt;=1250000),40000,IF(AND(B7&lt;=9000000,B14&gt;1250000,B14&lt;=1300000),60000,IF(AND(B7&gt;9000000,B7&lt;=9500000,B14&gt;1250000,B14&lt;=1300000),40000,IF(AND(B7&gt;9500000,B7&lt;=10000000,B14&gt;1250000,B14&lt;=1300000),20000,IF(AND(B7&lt;=9000000,B14&gt;1300000,B14&lt;=1330000),30000,IF(AND(B7&gt;9000000,B7&lt;=9500000,B14&gt;130000,B14&lt;=1330000),20000,IF(AND(B7&gt;9500000,B7&lt;=10000000,B14&gt;1300000,B14&lt;=1330000),10000,0))))))))))))))))))))))))))))</f>
        <v>0</v>
      </c>
      <c r="F8" s="85">
        <f>IF(OR(AND(B7&lt;=9000000,B14&lt;=480000,OR(B17="〇",B18="〇")),AND(B7&lt;=9000000,B14&gt;480000,B14&lt;500000)),50000,IF(AND(B7&lt;=9000000,B14&lt;=480000,B19="〇"),100000,IF(AND(B7&lt;=9000000,B14&gt;=500000,B14&lt;550000),30000,IF(OR(AND(B7&gt;9000000,B7&lt;=9500000,B14&lt;=480000,OR(B17="〇",B18="〇")),AND(B7&gt;9000000,B7&lt;=9500000,B14&gt;480000,B14&lt;500000)),40000,IF(AND(B7&gt;9000000,B7&lt;=9500000,B14&lt;=480000,B19="〇"),60000,IF(AND(B7&gt;9000000,B7&lt;=9500000,B14&gt;=500000,B14&lt;550000),20000,IF(OR(AND(B7&gt;9500000,B7&lt;=10000000,B14&lt;=480000,OR(B17="〇",B18="〇")),AND(B7&gt;9500000,B7&lt;=10000000,B14&gt;480000,B14&lt;500000,B19="〇")),20000,IF(AND(B7&gt;9500000,B7&lt;=10000000,B14&gt;=500000,B14&lt;550000),10000,0))))))))</f>
        <v>0</v>
      </c>
      <c r="G8" s="85">
        <f>IF(B7&gt;10000000,0,IF(OR(AND(B7&lt;=9000000,B14&lt;=480000,OR(B18="〇",B17="〇")),AND(B7&lt;=9000000,B14&gt;480000,B14&lt;=950000)),380000,IF(OR(AND(B7&gt;9000000,B7&lt;=9500000,B14&lt;=480000,OR(B17="〇",B18="〇")),AND(B7&gt;9000000,B7&lt;=9500000,B14&gt;480000,B14&lt;=950000)),260000,IF(OR(AND(B7&gt;9500000,B7&lt;=10000000,B14&lt;=480000,OR(B17="〇",B18="〇")),AND(B7&gt;9500000,B7&lt;=10000000,B14&gt;480000,B14&lt;=950000)),130000,IF(AND(B7&lt;=9000000,B14&lt;=480000,B19="〇"),480000,IF(AND(B7&gt;9000000,B7&lt;=9500000,B14&lt;=480000,B19="〇"),320000,IF(AND(B7&gt;9500000,B7&lt;=10000000,B14&lt;=480000,B19="〇"),160000,IF(AND(B7&lt;=9000000,B14&gt;950000,B14&lt;=1000000),360000,IF(AND(B7&gt;9000000,B7&lt;=9500000,B14&gt;950000,B14&lt;=1000000),240000,IF(AND(B7&gt;9500000,B7&lt;=10000000,B14&gt;950000,B14&lt;=1000000),120000,IF(AND(B7&lt;=9000000,B14&gt;1000000,B14&lt;=1050000),310000,IF(AND(B7&gt;9000000,B7&lt;=9500000,B14&gt;1000000,B14&lt;=1050000),210000,IF(AND(B7&gt;9500000,B7&lt;=10000000,B14&gt;1000000,B14&lt;=1050000),110000,IF(AND(B7&lt;=9000000,B14&gt;1050000,B14&lt;=1100000),260000,IF(AND(B7&gt;9000000,B7&lt;=9500000,B14&gt;1050000,B14&lt;=1100000),180000,IF(AND(B7&gt;9500000,B7&lt;=10000000,B14&gt;1050000,B14&lt;=1100000),90000,IF(AND(B7&lt;=9000000,B14&gt;1100000,B14&lt;=1150000),210000,IF(AND(B7&gt;9000000,B7&lt;=9500000,B14&gt;1100000,B14&lt;=1150000),140000,IF(AND(B7&gt;9500000,B7&lt;=10000000,B14&gt;1100000,B14&lt;=1150000),70000,IF(AND(B7&lt;=9000000,B14&gt;1150000,B14&lt;=1200000),160000,IF(AND(B7&gt;9000000,B7&lt;=9500000,B14&gt;1150000,B14&lt;=1200000),110000,IF(AND(B7&gt;9500000,B7&lt;=10000000,B14&gt;1150000,B14&lt;=1200000),60000,IF(AND(B7&lt;=9000000,B14&gt;1200000,B14&lt;=1250000),110000,IF(AND(B7&gt;9000000,B7&lt;=9500000,B14&gt;1200000,B14&lt;=1250000),80000,IF(AND(B7&gt;9500000,B7&lt;=10000000,B14&gt;1200000,B14&lt;=1250000),40000,IF(AND(B7&lt;=9000000,B14&gt;1250000,B14&lt;=1300000),60000,IF(AND(B7&gt;9000000,B7&lt;=9500000,B14&gt;1250000,B14&lt;=1300000),40000,IF(AND(B7&gt;9500000,B7&lt;=10000000,B14&gt;1250000,B14&lt;=1300000),20000,IF(AND(B7&lt;=9000000,B14&gt;1300000,B14&lt;=1330000),30000,IF(AND(B7&gt;9000000,B7&lt;=9500000,B14&gt;130000,B14&lt;=1330000),20000,IF(AND(B7&gt;9500000,B7&lt;=10000000,B14&gt;1300000,B14&lt;=1330000),10000,0)))))))))))))))))))))))))))))))</f>
        <v>0</v>
      </c>
      <c r="H8" s="244" t="s">
        <v>126</v>
      </c>
      <c r="I8" s="96">
        <f>IF(J8*0.1&lt;0,0,J8*0.1)</f>
        <v>0</v>
      </c>
      <c r="J8" s="255">
        <f>MIN(B7*0.3,I4)-2000</f>
        <v>-2000</v>
      </c>
      <c r="M8" s="113">
        <f>N7+1</f>
        <v>3300001</v>
      </c>
      <c r="N8" s="145">
        <v>6950000</v>
      </c>
      <c r="O8" s="164" t="s">
        <v>202</v>
      </c>
    </row>
    <row r="9" spans="1:29" ht="15">
      <c r="A9" t="s">
        <v>241</v>
      </c>
      <c r="B9" s="85">
        <f>IF(D9&gt;0,C9-D9,C9)</f>
        <v>0</v>
      </c>
      <c r="C9" s="85">
        <f>ROUNDDOWN(IF(B8&lt;=650999,0,IF(AND(B8&gt;=651000,B8&lt;=1899999),B8-650000,IF(AND(B8&gt;=1900000,B8&lt;=3599999),ROUNDDOWN(B8/4,-3)*2.8-80000,IF(AND(B8&gt;=3600000,B8&lt;=6599999),ROUNDDOWN(B8/4,-3)*3.2-440000,IF(AND(B8&gt;=6600000,B8&lt;=8499999),ROUNDDOWN(B8*0.9,0)-1100000,IF(B8&gt;=8500000,B8-1950000,0)))))),0)</f>
        <v>0</v>
      </c>
      <c r="D9" s="15">
        <f>MAX(IF(C9&gt;=100000,100000,C9)+IF(B11&gt;=100000,100000,B11)-100000,0)</f>
        <v>0</v>
      </c>
      <c r="G9" s="85"/>
      <c r="H9" s="244" t="s">
        <v>120</v>
      </c>
      <c r="I9" s="251">
        <f>IF(SUM(I6:I8)&lt;0,0,SUM(I6:I8))</f>
        <v>0</v>
      </c>
      <c r="J9" s="257"/>
      <c r="K9" s="107"/>
      <c r="L9" s="107"/>
      <c r="M9" s="113">
        <f>N8+1</f>
        <v>6950001</v>
      </c>
      <c r="N9" s="146">
        <v>9000000</v>
      </c>
      <c r="O9" s="165" t="s">
        <v>204</v>
      </c>
      <c r="P9" s="107"/>
    </row>
    <row r="10" spans="1:29" ht="15">
      <c r="A10" t="s">
        <v>242</v>
      </c>
      <c r="B10" s="85">
        <f>控除額!C17</f>
        <v>0</v>
      </c>
      <c r="C10" s="85"/>
      <c r="D10" s="15"/>
      <c r="F10" s="85"/>
      <c r="G10" s="85"/>
      <c r="H10" s="245"/>
      <c r="I10" s="252"/>
      <c r="J10" s="258"/>
      <c r="K10" s="107"/>
      <c r="L10" s="107"/>
      <c r="M10" s="114">
        <f>N9+1</f>
        <v>9000001</v>
      </c>
      <c r="N10" s="147" t="s">
        <v>35</v>
      </c>
      <c r="O10" s="166" t="s">
        <v>205</v>
      </c>
      <c r="P10" s="107"/>
    </row>
    <row r="11" spans="1:29" ht="14.25">
      <c r="A11" t="s">
        <v>243</v>
      </c>
      <c r="B11" s="85">
        <f>MAX(IF(B17="〇",B10-C17,IF(OR(B18="〇",B19="〇"),B10-C18)),0)</f>
        <v>0</v>
      </c>
      <c r="C11" s="85"/>
      <c r="D11" s="15"/>
      <c r="F11" s="85"/>
      <c r="G11" s="85"/>
      <c r="J11" s="254"/>
      <c r="K11" s="107"/>
      <c r="L11" s="107"/>
      <c r="M11" s="107"/>
      <c r="N11" s="107"/>
      <c r="O11" s="107"/>
      <c r="P11" s="107"/>
    </row>
    <row r="12" spans="1:29" ht="14.25">
      <c r="A12" t="s">
        <v>234</v>
      </c>
      <c r="B12" s="85">
        <f>控除額!D18</f>
        <v>0</v>
      </c>
      <c r="C12" s="85"/>
      <c r="D12" s="15"/>
      <c r="F12" s="85"/>
      <c r="G12" s="85"/>
      <c r="H12" s="85" t="s">
        <v>116</v>
      </c>
      <c r="J12" s="254"/>
      <c r="K12" s="107"/>
      <c r="L12" s="107"/>
      <c r="M12" s="115" t="s">
        <v>149</v>
      </c>
      <c r="N12" s="115"/>
      <c r="O12" s="115"/>
      <c r="P12" s="115"/>
      <c r="Q12" s="190"/>
      <c r="R12" s="115" t="s">
        <v>145</v>
      </c>
      <c r="S12" s="115"/>
      <c r="U12" s="115" t="s">
        <v>150</v>
      </c>
      <c r="V12" s="115"/>
      <c r="W12" s="115"/>
      <c r="X12" s="115"/>
      <c r="Y12" s="190"/>
      <c r="Z12" s="115"/>
      <c r="AA12" s="115"/>
    </row>
    <row r="13" spans="1:29" ht="14.25">
      <c r="A13" t="s">
        <v>123</v>
      </c>
      <c r="B13" s="85">
        <f>控除額!D19</f>
        <v>0</v>
      </c>
      <c r="C13" s="85"/>
      <c r="D13" s="15"/>
      <c r="F13" s="85"/>
      <c r="G13" s="85"/>
      <c r="H13" s="243"/>
      <c r="I13" s="64"/>
      <c r="J13" s="253"/>
      <c r="K13" s="107"/>
      <c r="L13" s="107"/>
      <c r="M13" s="116" t="s">
        <v>136</v>
      </c>
      <c r="N13" s="148">
        <v>0</v>
      </c>
      <c r="O13" s="167">
        <v>10000</v>
      </c>
      <c r="P13" s="182"/>
      <c r="Q13" s="191">
        <f>B46</f>
        <v>0</v>
      </c>
      <c r="R13" s="115">
        <f>IF(B46&lt;=O13,Q13,Q14)</f>
        <v>0</v>
      </c>
      <c r="S13" s="115">
        <f>IF(R13&lt;=15000,R13,15000)</f>
        <v>0</v>
      </c>
      <c r="U13" s="217" t="s">
        <v>24</v>
      </c>
      <c r="V13" s="148">
        <v>0</v>
      </c>
      <c r="W13" s="167">
        <v>25000</v>
      </c>
      <c r="X13" s="182"/>
      <c r="Y13" s="227">
        <f>B41</f>
        <v>0</v>
      </c>
      <c r="AA13" s="115"/>
      <c r="AB13" t="s">
        <v>85</v>
      </c>
    </row>
    <row r="14" spans="1:29" ht="15">
      <c r="A14" t="s">
        <v>244</v>
      </c>
      <c r="B14" s="85">
        <f>B9+B11+B12+B13</f>
        <v>0</v>
      </c>
      <c r="C14" s="85"/>
      <c r="D14" s="15"/>
      <c r="F14" s="85"/>
      <c r="G14" s="85"/>
      <c r="H14" s="244" t="s">
        <v>74</v>
      </c>
      <c r="I14" s="249">
        <f>IF(J14=0,0,J14+2000)</f>
        <v>0</v>
      </c>
      <c r="J14" s="259">
        <f>ROUNDUP(IF(AND(E55&gt;Q23,E55&lt;=R23),I16*100/84.895,IF(AND(E55&gt;Q24,E55&lt;=R24),I16*100/79.79,IF(AND(E55&gt;Q25,E55&lt;=R25),I16*100/69.58,IF(AND(E55&gt;Q26,E55&lt;=R26),I16*100/66.517,IF(AND(E55&gt;Q27,E55&lt;=R27),I16*100/56.307,IF(AND(E55&gt;Q28,E55&lt;=R28),I16*100/49.16,IF(E55&gt;Q29,I16*100/44.055,0))))))),1)</f>
        <v>0</v>
      </c>
      <c r="K14" s="108"/>
      <c r="L14" s="108"/>
      <c r="M14" s="117"/>
      <c r="N14" s="149">
        <f>+O13+1</f>
        <v>10001</v>
      </c>
      <c r="O14" s="168">
        <v>20000</v>
      </c>
      <c r="P14" s="183" t="s">
        <v>142</v>
      </c>
      <c r="Q14" s="192">
        <f>B46*0.5+5000</f>
        <v>5000</v>
      </c>
      <c r="U14" s="134"/>
      <c r="V14" s="149">
        <v>25001</v>
      </c>
      <c r="W14" s="169">
        <v>50000</v>
      </c>
      <c r="X14" s="183" t="s">
        <v>151</v>
      </c>
      <c r="Y14" s="228">
        <f>ROUNDUP(B41*0.5+12500,0)</f>
        <v>12500</v>
      </c>
      <c r="Z14" s="115">
        <f>IF(AND(B41&lt;=W13),B41,IF(AND(V14&lt;=B41,B41&lt;=W14),Y14,IF(AND(V15&lt;=B41),Y15)))</f>
        <v>0</v>
      </c>
      <c r="AA14" s="115">
        <f>IF(Z14&lt;=50000,Z14,IF(50000&lt;=Z14,50000))</f>
        <v>0</v>
      </c>
      <c r="AB14">
        <f>MAX(AA14,AA20,AC14)</f>
        <v>0</v>
      </c>
      <c r="AC14">
        <f>IF(AA14+AA20&lt;=40000,AA14+AA20,40000)</f>
        <v>0</v>
      </c>
    </row>
    <row r="15" spans="1:29" ht="14.25">
      <c r="A15" t="s">
        <v>15</v>
      </c>
      <c r="C15" s="85"/>
      <c r="H15" s="244"/>
      <c r="I15" s="96"/>
      <c r="J15" s="256"/>
      <c r="K15" s="109"/>
      <c r="L15" s="109"/>
      <c r="M15" s="118"/>
      <c r="N15" s="149">
        <f>+O14+1</f>
        <v>20001</v>
      </c>
      <c r="O15" s="1" t="s">
        <v>35</v>
      </c>
      <c r="P15" s="184"/>
      <c r="Q15" s="193">
        <v>15000</v>
      </c>
      <c r="R15" s="204"/>
      <c r="U15" s="135"/>
      <c r="V15" s="149">
        <v>50001</v>
      </c>
      <c r="W15" s="222" t="s">
        <v>35</v>
      </c>
      <c r="X15" s="183" t="s">
        <v>152</v>
      </c>
      <c r="Y15" s="228">
        <f>ROUNDUP(B41*0.25+25000,0)</f>
        <v>25000</v>
      </c>
    </row>
    <row r="16" spans="1:29" ht="15" customHeight="1">
      <c r="A16" t="s">
        <v>31</v>
      </c>
      <c r="B16" s="85" t="str">
        <f>IF(控除額!C14="いない","〇","")</f>
        <v>〇</v>
      </c>
      <c r="C16" s="85"/>
      <c r="H16" s="244" t="s">
        <v>72</v>
      </c>
      <c r="I16" s="96">
        <f>B54*0.2</f>
        <v>0</v>
      </c>
      <c r="J16" s="256"/>
      <c r="K16" s="109"/>
      <c r="L16" s="109"/>
      <c r="M16" s="119" t="s">
        <v>140</v>
      </c>
      <c r="N16" s="149">
        <v>0</v>
      </c>
      <c r="O16" s="169">
        <v>50000</v>
      </c>
      <c r="P16" s="183"/>
      <c r="Q16" s="192">
        <f>B45</f>
        <v>0</v>
      </c>
      <c r="R16" t="s">
        <v>146</v>
      </c>
      <c r="U16" s="136" t="s">
        <v>38</v>
      </c>
      <c r="V16" s="149">
        <v>0</v>
      </c>
      <c r="W16" s="169">
        <v>25000</v>
      </c>
      <c r="X16" s="183"/>
      <c r="Y16" s="228">
        <f>B43</f>
        <v>0</v>
      </c>
      <c r="AB16" t="s">
        <v>62</v>
      </c>
    </row>
    <row r="17" spans="1:29" ht="14.25">
      <c r="A17" t="s">
        <v>245</v>
      </c>
      <c r="B17" s="85" t="str">
        <f>IF(控除額!C14="いる（64歳以下）","〇","")</f>
        <v/>
      </c>
      <c r="C17" s="85">
        <f>IF(B10&lt;1300000,600000,IF(AND(B10&gt;=1300000,B10&lt;4100000),B10*0.25+275000,IF(AND(B10&gt;=4100000,B10&lt;7700000),B10*0.15+685000,IF(AND(B10&gt;=7700000,B10&lt;10000000),B10*0.05+1455000,IF(B10&gt;=10000000,1955000)))))</f>
        <v>600000</v>
      </c>
      <c r="H17" s="244" t="s">
        <v>97</v>
      </c>
      <c r="I17" s="96">
        <f>ROUNDUP(IF(AND(B64&gt;=M24,B64&lt;=N24),J17*0.05*1.021,IF(AND(B64&gt;=M25,B64&lt;=N25),J17*0.1*1.021,IF(AND(B64&gt;=M26,B64&lt;=N26),J17*0.2*1.021,IF(AND(B64&gt;=M27,B64&lt;=N27),J17*0.23*1.021,IF(AND(B64&gt;=M28,B64&lt;=N28),J17*0.33*1.021,IF(AND(B64&gt;=M29,B64&lt;=N29),J17*0.4*1.021,IF(B64&gt;=M30,J17*0.45*1.021,0))))))),0)</f>
        <v>0</v>
      </c>
      <c r="J17" s="240">
        <f>IF(B7=0,0,MIN(I14,B7*0.4)-2000)</f>
        <v>0</v>
      </c>
      <c r="K17" s="110"/>
      <c r="L17" s="111"/>
      <c r="M17" s="120"/>
      <c r="N17" s="150">
        <f>+O16+1</f>
        <v>50001</v>
      </c>
      <c r="O17" s="161" t="s">
        <v>35</v>
      </c>
      <c r="P17" s="185"/>
      <c r="Q17" s="194">
        <v>50000</v>
      </c>
      <c r="R17" s="115">
        <f>IF(B45&lt;=O16,Q16,Q17)</f>
        <v>0</v>
      </c>
      <c r="S17" s="115">
        <f>IF(R17&lt;=50000,R17,50000)</f>
        <v>0</v>
      </c>
      <c r="U17" s="137"/>
      <c r="V17" s="149">
        <v>25001</v>
      </c>
      <c r="W17" s="169">
        <v>50000</v>
      </c>
      <c r="X17" s="183" t="s">
        <v>151</v>
      </c>
      <c r="Y17" s="228">
        <f>ROUNDUP(B43*0.5+12500,0)</f>
        <v>12500</v>
      </c>
      <c r="Z17" s="115">
        <f>IF(AND(B43&lt;=W16),B43,IF(AND(V17&lt;=B43,B43&lt;=W17),Y17,IF(AND(V18&lt;=B43),Y18)))</f>
        <v>0</v>
      </c>
      <c r="AA17" s="115">
        <f>IF(Z17&lt;=50000,Z17,IF(50000&lt;=Z17,50000))</f>
        <v>0</v>
      </c>
      <c r="AB17">
        <f>MAX(AA17,AA23,AC17)</f>
        <v>0</v>
      </c>
      <c r="AC17">
        <f>IF(AA17+AA23&lt;=40000,AA17+AA23,40000)</f>
        <v>0</v>
      </c>
    </row>
    <row r="18" spans="1:29" ht="13.5" customHeight="1">
      <c r="A18" t="s">
        <v>3</v>
      </c>
      <c r="B18" s="85" t="str">
        <f>IF(控除額!C14="いる（65歳以上69歳以下）","〇","")</f>
        <v/>
      </c>
      <c r="C18" s="85">
        <f>IF(B10&lt;3300000,1100000,IF(AND(B10&gt;=3300000,B10&lt;4100000),B10*0.25+275000,IF(AND(B10&gt;=4100000,B10&lt;7700000),B10*0.15+685000,IF(AND(B10&gt;=7700000,B10&lt;10000000),B10*0.05+1455000,IF(B10&gt;=10000000,1955000,0)))))</f>
        <v>1100000</v>
      </c>
      <c r="H18" s="244" t="s">
        <v>126</v>
      </c>
      <c r="I18" s="96">
        <f>IF(J18*0.1&lt;0,0,J18*0.1)</f>
        <v>0</v>
      </c>
      <c r="J18" s="240">
        <f>MIN(B7*0.3,I14)-2000</f>
        <v>-2000</v>
      </c>
      <c r="K18" s="110"/>
      <c r="L18" s="110"/>
      <c r="M18" s="121"/>
      <c r="N18" s="151"/>
      <c r="O18" s="170"/>
      <c r="P18" s="170"/>
      <c r="R18" s="115"/>
      <c r="S18" s="210">
        <f>IF(S13+S17&lt;=50000,S13+S17,IF(50000&lt;S13+S17,50000))</f>
        <v>0</v>
      </c>
      <c r="U18" s="138"/>
      <c r="V18" s="149">
        <v>50001</v>
      </c>
      <c r="W18" s="222" t="s">
        <v>35</v>
      </c>
      <c r="X18" s="183" t="s">
        <v>152</v>
      </c>
      <c r="Y18" s="228">
        <f>ROUNDUP(B43*0.25+25000,0)</f>
        <v>25000</v>
      </c>
      <c r="Z18" s="115"/>
    </row>
    <row r="19" spans="1:29" ht="15">
      <c r="A19" t="s">
        <v>58</v>
      </c>
      <c r="B19" s="85" t="str">
        <f>IF(控除額!C14="いる（70歳以上）","〇","")</f>
        <v/>
      </c>
      <c r="C19" s="85"/>
      <c r="H19" s="246" t="s">
        <v>68</v>
      </c>
      <c r="I19" s="251">
        <f>IF(SUM(I16:I18)&lt;0,0,SUM(I16:I18))</f>
        <v>0</v>
      </c>
      <c r="J19" s="257"/>
      <c r="K19" s="260"/>
      <c r="L19" s="110"/>
      <c r="M19" s="121"/>
      <c r="N19" s="151"/>
      <c r="O19" s="170"/>
      <c r="P19" s="170"/>
      <c r="U19" s="134" t="s">
        <v>75</v>
      </c>
      <c r="V19" s="158">
        <v>0</v>
      </c>
      <c r="W19" s="223">
        <v>20000</v>
      </c>
      <c r="X19" s="225"/>
      <c r="Y19" s="229">
        <f>B40</f>
        <v>0</v>
      </c>
      <c r="Z19" s="115"/>
      <c r="AA19" s="115"/>
    </row>
    <row r="20" spans="1:29" ht="15">
      <c r="A20" t="s">
        <v>13</v>
      </c>
      <c r="C20" s="85"/>
      <c r="D20" s="15" t="s">
        <v>59</v>
      </c>
      <c r="E20" s="85">
        <f>IF(AND(B7&lt;=5000000,B22="〇"),260000,IF(B21="〇",0,0))</f>
        <v>0</v>
      </c>
      <c r="F20" s="85">
        <f>IF(B22="〇",10000,0)</f>
        <v>0</v>
      </c>
      <c r="G20" s="85">
        <f>E20+F20</f>
        <v>0</v>
      </c>
      <c r="H20" s="245"/>
      <c r="I20" s="252"/>
      <c r="J20" s="258"/>
      <c r="K20" s="110"/>
      <c r="L20" s="111"/>
      <c r="M20" s="121"/>
      <c r="N20" s="151"/>
      <c r="O20" s="170"/>
      <c r="P20" s="170"/>
      <c r="U20" s="134"/>
      <c r="V20" s="149">
        <v>20001</v>
      </c>
      <c r="W20" s="169">
        <v>40000</v>
      </c>
      <c r="X20" s="183" t="s">
        <v>153</v>
      </c>
      <c r="Y20" s="228">
        <f>ROUNDUP(B40*0.5+10000,0)</f>
        <v>10000</v>
      </c>
      <c r="Z20" s="115">
        <f>IF(AND(B40&lt;=W19),B40,IF(AND(V20&lt;=B40,B40&lt;=W20),Y20,IF(AND(V21&lt;=B40),Y21)))</f>
        <v>0</v>
      </c>
      <c r="AA20" s="115">
        <f>IF(Z20&lt;=40000,Z20,IF(40000&lt;=Z20,40000))</f>
        <v>0</v>
      </c>
    </row>
    <row r="21" spans="1:29" ht="14.25">
      <c r="A21" t="s">
        <v>39</v>
      </c>
      <c r="B21" s="85" t="str">
        <f>IF(控除額!C22="該当しない","〇","")</f>
        <v>〇</v>
      </c>
      <c r="C21" s="85"/>
      <c r="D21" s="15" t="s">
        <v>65</v>
      </c>
      <c r="E21" s="85">
        <f>IF(AND(B7&lt;=5000000,B23="〇"),300000,IF(AND(D2&lt;=5000000,B24="〇"),300000,IF(B21="〇",0,0)))</f>
        <v>0</v>
      </c>
      <c r="F21" s="85">
        <f>IF(B23="〇",10000,IF(B24="〇",50000,0))</f>
        <v>0</v>
      </c>
      <c r="G21" s="85">
        <f>E21+F21</f>
        <v>0</v>
      </c>
      <c r="K21" s="110"/>
      <c r="L21" s="110"/>
      <c r="M21" s="121"/>
      <c r="N21" s="151"/>
      <c r="O21" s="170"/>
      <c r="P21" s="170"/>
      <c r="U21" s="135"/>
      <c r="V21" s="149">
        <v>40001</v>
      </c>
      <c r="W21" s="222" t="s">
        <v>35</v>
      </c>
      <c r="X21" s="183" t="s">
        <v>154</v>
      </c>
      <c r="Y21" s="228">
        <f>ROUNDUP(B40*0.25+20000,0)</f>
        <v>20000</v>
      </c>
    </row>
    <row r="22" spans="1:29" ht="15" customHeight="1">
      <c r="A22" t="s">
        <v>34</v>
      </c>
      <c r="B22" s="85" t="str">
        <f>IF(控除額!C22="寡婦","〇","")</f>
        <v/>
      </c>
      <c r="C22" s="85"/>
      <c r="D22" s="15"/>
      <c r="F22" s="85"/>
      <c r="G22" s="85"/>
      <c r="M22" s="85" t="s">
        <v>92</v>
      </c>
      <c r="N22" s="110" t="s">
        <v>53</v>
      </c>
      <c r="O22" s="110"/>
      <c r="Q22" s="121" t="s">
        <v>95</v>
      </c>
      <c r="R22" s="151"/>
      <c r="S22" s="170"/>
      <c r="U22" s="136" t="s">
        <v>77</v>
      </c>
      <c r="V22" s="149">
        <v>0</v>
      </c>
      <c r="W22" s="169">
        <v>20000</v>
      </c>
      <c r="X22" s="183"/>
      <c r="Y22" s="228">
        <f>B42</f>
        <v>0</v>
      </c>
    </row>
    <row r="23" spans="1:29">
      <c r="A23" t="s">
        <v>52</v>
      </c>
      <c r="B23" s="85" t="str">
        <f>IF(控除額!C22="ひとり親（男性）","〇","")</f>
        <v/>
      </c>
      <c r="C23" s="85"/>
      <c r="D23" s="15" t="s">
        <v>60</v>
      </c>
      <c r="E23" s="85">
        <f>IF(B26&gt;=1,260000*B26,IF(B28&gt;=1,300000*B28,IF(B27&gt;=1,300000*B27,IF(B29&gt;=1,530000*B29,IF(AND(B26="",B28="",B29="",B27=""),0,0)))))</f>
        <v>0</v>
      </c>
      <c r="F23" s="85">
        <f>SUM(B26*10000,B27*100000,B28*100000,B29*220000)</f>
        <v>0</v>
      </c>
      <c r="G23" s="85">
        <f>E23+F23</f>
        <v>0</v>
      </c>
      <c r="H23" s="96"/>
      <c r="I23" s="96"/>
      <c r="J23" s="105"/>
      <c r="M23" s="122"/>
      <c r="N23" s="152">
        <v>0</v>
      </c>
      <c r="O23" s="171">
        <v>0</v>
      </c>
      <c r="Q23" s="195">
        <v>0</v>
      </c>
      <c r="R23" s="205">
        <v>1950000</v>
      </c>
      <c r="S23" s="211" t="s">
        <v>98</v>
      </c>
      <c r="U23" s="137"/>
      <c r="V23" s="149">
        <v>20001</v>
      </c>
      <c r="W23" s="169">
        <v>40000</v>
      </c>
      <c r="X23" s="183" t="s">
        <v>153</v>
      </c>
      <c r="Y23" s="228">
        <f>ROUNDUP(B42*0.5+10000,0)</f>
        <v>10000</v>
      </c>
      <c r="Z23" s="115">
        <f>IF(AND(B42&lt;=W22),B42,IF(AND(V23&lt;=B42,B42&lt;=W23),Y23,IF(AND(V24&lt;=B42),Y24)))</f>
        <v>0</v>
      </c>
      <c r="AA23" s="115">
        <f>IF(Z23&lt;=40000,Z23,IF(40000&lt;=Z23,40000))</f>
        <v>0</v>
      </c>
    </row>
    <row r="24" spans="1:29" ht="13.5" customHeight="1">
      <c r="A24" t="s">
        <v>27</v>
      </c>
      <c r="B24" s="85" t="str">
        <f>IF(控除額!C22="ひとり親（女性）","〇","")</f>
        <v/>
      </c>
      <c r="D24" s="15"/>
      <c r="F24" s="85"/>
      <c r="G24" s="85"/>
      <c r="H24" s="96"/>
      <c r="I24" s="96"/>
      <c r="J24" s="105"/>
      <c r="M24" s="123">
        <v>1000</v>
      </c>
      <c r="N24" s="153">
        <v>1949000</v>
      </c>
      <c r="O24" s="172" t="s">
        <v>63</v>
      </c>
      <c r="Q24" s="196">
        <v>1950001</v>
      </c>
      <c r="R24" s="206">
        <v>3300000</v>
      </c>
      <c r="S24" s="212" t="s">
        <v>99</v>
      </c>
      <c r="U24" s="138"/>
      <c r="V24" s="149">
        <v>40001</v>
      </c>
      <c r="W24" s="222" t="s">
        <v>35</v>
      </c>
      <c r="X24" s="183" t="s">
        <v>154</v>
      </c>
      <c r="Y24" s="228">
        <f>ROUNDUP(B42*0.25+20000,0)</f>
        <v>20000</v>
      </c>
      <c r="Z24" s="115"/>
      <c r="AA24" s="115"/>
    </row>
    <row r="25" spans="1:29" ht="14.25" customHeight="1">
      <c r="A25" t="s">
        <v>0</v>
      </c>
      <c r="D25" s="15"/>
      <c r="F25" s="85"/>
      <c r="G25" s="85"/>
      <c r="H25" s="96"/>
      <c r="I25" s="96"/>
      <c r="J25" s="106"/>
      <c r="M25" s="124">
        <v>1950000</v>
      </c>
      <c r="N25" s="154">
        <v>3299000</v>
      </c>
      <c r="O25" s="173" t="s">
        <v>109</v>
      </c>
      <c r="Q25" s="197">
        <v>3300001</v>
      </c>
      <c r="R25" s="207">
        <v>6950000</v>
      </c>
      <c r="S25" s="213" t="s">
        <v>100</v>
      </c>
      <c r="U25" s="137" t="s">
        <v>78</v>
      </c>
      <c r="V25" s="158">
        <v>0</v>
      </c>
      <c r="W25" s="223">
        <v>20000</v>
      </c>
      <c r="X25" s="225"/>
      <c r="Y25" s="229">
        <f>B44</f>
        <v>0</v>
      </c>
      <c r="AA25" s="115"/>
      <c r="AB25" t="s">
        <v>76</v>
      </c>
    </row>
    <row r="26" spans="1:29">
      <c r="A26" t="s">
        <v>20</v>
      </c>
      <c r="B26" s="85">
        <f>控除額!C26+控除額!C25</f>
        <v>0</v>
      </c>
      <c r="C26" t="s">
        <v>269</v>
      </c>
      <c r="D26" s="15"/>
      <c r="F26" s="85"/>
      <c r="G26" s="85"/>
      <c r="H26" s="96"/>
      <c r="I26" s="96"/>
      <c r="J26" s="105"/>
      <c r="M26" s="124">
        <v>3300000</v>
      </c>
      <c r="N26" s="153">
        <v>6949000</v>
      </c>
      <c r="O26" s="174" t="s">
        <v>110</v>
      </c>
      <c r="Q26" s="196">
        <v>6950001</v>
      </c>
      <c r="R26" s="206">
        <v>9000000</v>
      </c>
      <c r="S26" s="212" t="s">
        <v>103</v>
      </c>
      <c r="U26" s="137"/>
      <c r="V26" s="149">
        <v>20001</v>
      </c>
      <c r="W26" s="169">
        <v>40000</v>
      </c>
      <c r="X26" s="183" t="s">
        <v>153</v>
      </c>
      <c r="Y26" s="228">
        <f>ROUNDUP(B44*0.5+10000,0)</f>
        <v>10000</v>
      </c>
      <c r="Z26" s="115">
        <f>IF(AND(B44&lt;=W25),B44,IF(AND(V26&lt;=B44,B44&lt;=W26),Y26,IF(AND(V27&lt;=B44),Y27)))</f>
        <v>0</v>
      </c>
      <c r="AA26" s="115">
        <f>IF(Z26&lt;=40000,Z26,IF(40000&lt;=Z26,40000))</f>
        <v>0</v>
      </c>
      <c r="AB26">
        <f>AA26</f>
        <v>0</v>
      </c>
    </row>
    <row r="27" spans="1:29" ht="13.5" customHeight="1">
      <c r="A27" t="s">
        <v>248</v>
      </c>
      <c r="B27" s="85">
        <f>控除額!C27</f>
        <v>0</v>
      </c>
      <c r="C27" t="str">
        <f>IF(OR(控除額!C25=1,B27=1),"〇","")</f>
        <v/>
      </c>
      <c r="H27" s="96"/>
      <c r="I27" s="96"/>
      <c r="J27" s="96"/>
      <c r="M27" s="125">
        <v>6950000</v>
      </c>
      <c r="N27" s="154">
        <v>8999000</v>
      </c>
      <c r="O27" s="173" t="s">
        <v>111</v>
      </c>
      <c r="Q27" s="196">
        <v>9000001</v>
      </c>
      <c r="R27" s="206">
        <v>18000000</v>
      </c>
      <c r="S27" s="212" t="s">
        <v>104</v>
      </c>
      <c r="U27" s="139"/>
      <c r="V27" s="150">
        <v>40001</v>
      </c>
      <c r="W27" s="161" t="s">
        <v>35</v>
      </c>
      <c r="X27" s="185" t="s">
        <v>154</v>
      </c>
      <c r="Y27" s="230">
        <f>ROUNDUP(B44*0.25+20000,0)</f>
        <v>20000</v>
      </c>
      <c r="Z27" s="115"/>
      <c r="AA27" s="115"/>
    </row>
    <row r="28" spans="1:29">
      <c r="A28" t="s">
        <v>249</v>
      </c>
      <c r="B28" s="85">
        <f>控除額!C28</f>
        <v>0</v>
      </c>
      <c r="H28" s="96"/>
      <c r="I28" s="96"/>
      <c r="J28" s="96"/>
      <c r="M28" s="125">
        <v>9000000</v>
      </c>
      <c r="N28" s="154">
        <v>17999000</v>
      </c>
      <c r="O28" s="173" t="s">
        <v>113</v>
      </c>
      <c r="Q28" s="198">
        <v>18000001</v>
      </c>
      <c r="R28" s="208">
        <v>40000000</v>
      </c>
      <c r="S28" s="214" t="s">
        <v>105</v>
      </c>
      <c r="AB28" t="s">
        <v>155</v>
      </c>
    </row>
    <row r="29" spans="1:29" ht="14.25">
      <c r="A29" t="s">
        <v>1</v>
      </c>
      <c r="B29" s="85">
        <f>控除額!C29</f>
        <v>0</v>
      </c>
      <c r="C29" s="85"/>
      <c r="H29" s="96"/>
      <c r="I29" s="96"/>
      <c r="J29" s="106"/>
      <c r="K29" s="85"/>
      <c r="M29" s="124">
        <v>18000000</v>
      </c>
      <c r="N29" s="153">
        <v>39999000</v>
      </c>
      <c r="O29" s="174" t="s">
        <v>114</v>
      </c>
      <c r="Q29" s="199">
        <v>40000001</v>
      </c>
      <c r="R29" s="209" t="s">
        <v>35</v>
      </c>
      <c r="S29" s="215" t="s">
        <v>107</v>
      </c>
      <c r="AB29">
        <f>IF(AB14+AB17+AB26&lt;=120000,AB14+AB17+AB26,120000)</f>
        <v>0</v>
      </c>
    </row>
    <row r="30" spans="1:29" ht="14.25">
      <c r="A30" t="s">
        <v>16</v>
      </c>
      <c r="C30" s="85"/>
      <c r="D30" s="15"/>
      <c r="E30" s="85">
        <f>IF(SUM(B31:B36)=0,0,SUM(C32:C35))</f>
        <v>0</v>
      </c>
      <c r="F30" s="85">
        <f>SUM(B32*50000,B33*130000,B34*100000,B35*180000)</f>
        <v>0</v>
      </c>
      <c r="G30" s="85">
        <f>E30+F30</f>
        <v>0</v>
      </c>
      <c r="H30" s="96"/>
      <c r="I30" s="96"/>
      <c r="J30" s="105"/>
      <c r="M30" s="126">
        <v>40000000</v>
      </c>
      <c r="N30" s="155"/>
      <c r="O30" s="175" t="s">
        <v>115</v>
      </c>
      <c r="P30" s="156"/>
      <c r="Q30" s="157"/>
      <c r="R30" s="157"/>
      <c r="S30" s="157"/>
    </row>
    <row r="31" spans="1:29">
      <c r="A31" t="s">
        <v>170</v>
      </c>
      <c r="B31" s="85">
        <f>Z85</f>
        <v>0</v>
      </c>
      <c r="C31" s="85"/>
      <c r="D31" s="86" t="s">
        <v>200</v>
      </c>
      <c r="E31" s="85">
        <f>IF(AND(OR(B17="〇",B18="〇",B19="〇"),C9&lt;=380000),1,0)</f>
        <v>0</v>
      </c>
      <c r="F31" s="85"/>
      <c r="G31" s="85"/>
      <c r="H31" s="96"/>
      <c r="I31" s="96"/>
      <c r="J31" s="105"/>
      <c r="M31" s="85"/>
      <c r="N31" s="156"/>
      <c r="O31" s="156"/>
      <c r="P31" s="156"/>
      <c r="Q31" s="157"/>
      <c r="R31" s="157"/>
      <c r="S31" s="157"/>
    </row>
    <row r="32" spans="1:29">
      <c r="A32" t="s">
        <v>278</v>
      </c>
      <c r="B32" s="85">
        <f t="shared" ref="B32:C35" si="0">Z86</f>
        <v>0</v>
      </c>
      <c r="C32" s="85">
        <f t="shared" si="0"/>
        <v>0</v>
      </c>
      <c r="D32" s="15" t="s">
        <v>49</v>
      </c>
      <c r="E32" s="85">
        <f>SUM(B31:B35)</f>
        <v>0</v>
      </c>
      <c r="F32" s="85"/>
      <c r="G32" s="85"/>
      <c r="H32" s="96"/>
      <c r="I32" s="96"/>
      <c r="J32" s="105"/>
      <c r="M32" s="85"/>
      <c r="N32" s="157"/>
      <c r="O32" s="157"/>
      <c r="P32" s="157"/>
      <c r="Q32" s="157"/>
      <c r="R32" s="157"/>
      <c r="S32" s="157"/>
    </row>
    <row r="33" spans="1:27">
      <c r="A33" t="s">
        <v>279</v>
      </c>
      <c r="B33" s="85">
        <f t="shared" si="0"/>
        <v>0</v>
      </c>
      <c r="C33" s="85">
        <f t="shared" si="0"/>
        <v>0</v>
      </c>
      <c r="D33" s="15" t="s">
        <v>71</v>
      </c>
      <c r="E33" s="85">
        <f>E32+E31+1</f>
        <v>1</v>
      </c>
      <c r="F33" s="85"/>
      <c r="G33" s="85"/>
      <c r="H33" s="96"/>
      <c r="I33" s="96"/>
      <c r="J33" s="105"/>
      <c r="M33" s="85"/>
      <c r="N33" s="107"/>
      <c r="O33" s="107"/>
      <c r="P33" s="107"/>
      <c r="Q33" s="107"/>
      <c r="R33" s="107"/>
      <c r="S33" s="107"/>
    </row>
    <row r="34" spans="1:27">
      <c r="A34" t="s">
        <v>44</v>
      </c>
      <c r="B34" s="85">
        <f t="shared" si="0"/>
        <v>0</v>
      </c>
      <c r="C34" s="85">
        <f t="shared" si="0"/>
        <v>0</v>
      </c>
      <c r="D34" s="15" t="s">
        <v>268</v>
      </c>
      <c r="E34" s="85" t="str">
        <f>IF(AND(OR(B22="〇",B23="〇",B24="〇",C27="〇"),B7&lt;=1350000),1,"")</f>
        <v/>
      </c>
      <c r="F34" s="85"/>
      <c r="G34" s="85"/>
      <c r="H34" s="96"/>
      <c r="I34" s="96"/>
      <c r="J34" s="105"/>
      <c r="M34" s="85"/>
    </row>
    <row r="35" spans="1:27">
      <c r="A35" t="s">
        <v>280</v>
      </c>
      <c r="B35" s="85">
        <f t="shared" si="0"/>
        <v>0</v>
      </c>
      <c r="C35" s="85">
        <f t="shared" si="0"/>
        <v>0</v>
      </c>
      <c r="D35" s="15"/>
      <c r="E35" s="85">
        <f>AA91</f>
        <v>0</v>
      </c>
      <c r="F35" s="85"/>
      <c r="G35" s="85">
        <f>AA90</f>
        <v>0</v>
      </c>
      <c r="H35" s="96"/>
      <c r="I35" s="96"/>
      <c r="J35" s="96"/>
      <c r="M35" s="85"/>
    </row>
    <row r="36" spans="1:27" ht="14.25">
      <c r="A36" t="s">
        <v>194</v>
      </c>
      <c r="B36" s="85">
        <f>AA91</f>
        <v>0</v>
      </c>
      <c r="C36" s="85"/>
      <c r="D36" s="15"/>
      <c r="F36" s="85"/>
      <c r="G36" s="85"/>
      <c r="H36" s="96"/>
      <c r="I36" s="96"/>
      <c r="J36" s="105"/>
      <c r="M36" s="115" t="s">
        <v>147</v>
      </c>
      <c r="N36" s="115"/>
      <c r="O36" s="115"/>
      <c r="P36" s="115"/>
      <c r="Q36" s="190"/>
      <c r="R36" s="115" t="s">
        <v>18</v>
      </c>
      <c r="T36" s="216"/>
      <c r="U36" s="115" t="s">
        <v>135</v>
      </c>
      <c r="V36" s="115"/>
      <c r="W36" s="115"/>
      <c r="X36" s="115"/>
      <c r="Y36" s="190"/>
      <c r="Z36" s="115" t="s">
        <v>145</v>
      </c>
      <c r="AA36" s="115"/>
    </row>
    <row r="37" spans="1:27" ht="13.5" customHeight="1">
      <c r="A37" t="s">
        <v>33</v>
      </c>
      <c r="B37" s="85" t="str">
        <f>IF(控除額!C40="該当する","〇","")</f>
        <v/>
      </c>
      <c r="C37" s="85"/>
      <c r="D37" s="15" t="s">
        <v>42</v>
      </c>
      <c r="E37" s="85">
        <f>IF(B37="〇",260000,0)</f>
        <v>0</v>
      </c>
      <c r="F37" s="85">
        <f>IF(B37="〇",10000,0)</f>
        <v>0</v>
      </c>
      <c r="G37" s="85">
        <f>E37+F37</f>
        <v>0</v>
      </c>
      <c r="H37" s="96"/>
      <c r="I37" s="96"/>
      <c r="J37" s="105"/>
      <c r="M37" s="127" t="s">
        <v>24</v>
      </c>
      <c r="N37" s="148">
        <v>0</v>
      </c>
      <c r="O37" s="167">
        <v>15000</v>
      </c>
      <c r="P37" s="186"/>
      <c r="Q37" s="200">
        <f>B41</f>
        <v>0</v>
      </c>
      <c r="R37" s="115"/>
      <c r="S37" t="s">
        <v>85</v>
      </c>
      <c r="U37" s="218" t="s">
        <v>136</v>
      </c>
      <c r="V37" s="148">
        <v>0</v>
      </c>
      <c r="W37" s="224">
        <v>5000</v>
      </c>
      <c r="X37" s="182"/>
      <c r="Y37" s="191">
        <f>J62</f>
        <v>0</v>
      </c>
      <c r="Z37" s="115">
        <f>IF(B46&lt;=W37,Y37,IF(AND(B46&gt;=V38,B46&lt;W38),Y38,IF(B46&gt;=V39,Y39,0)))</f>
        <v>0</v>
      </c>
      <c r="AA37" s="115"/>
    </row>
    <row r="38" spans="1:27">
      <c r="A38" t="s">
        <v>10</v>
      </c>
      <c r="B38" s="85">
        <f>控除額!C43</f>
        <v>0</v>
      </c>
      <c r="C38" s="85"/>
      <c r="D38" s="15" t="s">
        <v>61</v>
      </c>
      <c r="E38" s="85">
        <f>B38+B39</f>
        <v>0</v>
      </c>
      <c r="F38" s="85"/>
      <c r="G38" s="85">
        <f>E38</f>
        <v>0</v>
      </c>
      <c r="H38" s="96"/>
      <c r="I38" s="96"/>
      <c r="J38" s="96"/>
      <c r="M38" s="128"/>
      <c r="N38" s="149">
        <v>15001</v>
      </c>
      <c r="O38" s="169">
        <v>40000</v>
      </c>
      <c r="P38" s="187" t="s">
        <v>81</v>
      </c>
      <c r="Q38" s="201">
        <f>B41*0.5+7500</f>
        <v>7500</v>
      </c>
      <c r="R38" s="115"/>
      <c r="U38" s="219"/>
      <c r="V38" s="149">
        <f>+W37+1</f>
        <v>5001</v>
      </c>
      <c r="W38" s="169">
        <v>15000</v>
      </c>
      <c r="X38" s="183" t="s">
        <v>156</v>
      </c>
      <c r="Y38" s="192">
        <f>B46*0.5+2500</f>
        <v>2500</v>
      </c>
    </row>
    <row r="39" spans="1:27">
      <c r="A39" t="s">
        <v>17</v>
      </c>
      <c r="B39" s="85">
        <f>控除額!C44</f>
        <v>0</v>
      </c>
      <c r="C39" s="85"/>
      <c r="D39" s="15"/>
      <c r="F39" s="85"/>
      <c r="G39" s="85"/>
      <c r="H39" s="96"/>
      <c r="I39" s="96"/>
      <c r="J39" s="96"/>
      <c r="M39" s="128"/>
      <c r="N39" s="149">
        <v>40001</v>
      </c>
      <c r="O39" s="169">
        <v>70000</v>
      </c>
      <c r="P39" s="187" t="s">
        <v>82</v>
      </c>
      <c r="Q39" s="201">
        <f>B41*0.25+17500</f>
        <v>17500</v>
      </c>
      <c r="R39" s="115">
        <f>ROUNDUP(IF(B41&lt;=O37,Q37,IF(AND(B41&gt;=N38,B41&lt;=O38),Q38,IF(AND(B41&gt;=N39,B41&lt;=O39),Q39,IF(B41&gt;=N40,Q40)))),0)</f>
        <v>0</v>
      </c>
      <c r="S39">
        <f>MAX(R39,R47,T39)</f>
        <v>0</v>
      </c>
      <c r="T39">
        <f>IF(R39+R47&lt;=28000,R39+R47,28000)</f>
        <v>0</v>
      </c>
      <c r="U39" s="220"/>
      <c r="V39" s="149">
        <f>+W38+1</f>
        <v>15001</v>
      </c>
      <c r="W39" s="222" t="s">
        <v>35</v>
      </c>
      <c r="X39" s="183">
        <v>10000</v>
      </c>
      <c r="Y39" s="192">
        <v>10000</v>
      </c>
      <c r="Z39" t="s">
        <v>146</v>
      </c>
    </row>
    <row r="40" spans="1:27">
      <c r="A40" t="s">
        <v>80</v>
      </c>
      <c r="B40" s="85">
        <f>控除額!C45</f>
        <v>0</v>
      </c>
      <c r="C40" s="85"/>
      <c r="D40" s="15" t="s">
        <v>8</v>
      </c>
      <c r="E40" s="85">
        <f>S59</f>
        <v>0</v>
      </c>
      <c r="F40" s="85">
        <f>AB29-E40</f>
        <v>0</v>
      </c>
      <c r="G40" s="85">
        <f>AB29</f>
        <v>0</v>
      </c>
      <c r="H40" s="96"/>
      <c r="I40" s="96"/>
      <c r="J40" s="105"/>
      <c r="M40" s="129"/>
      <c r="N40" s="158">
        <v>70001</v>
      </c>
      <c r="O40" s="176" t="s">
        <v>35</v>
      </c>
      <c r="P40" s="187">
        <v>35000</v>
      </c>
      <c r="Q40" s="201">
        <v>35000</v>
      </c>
      <c r="R40" s="115"/>
      <c r="U40" s="119" t="s">
        <v>140</v>
      </c>
      <c r="V40" s="149">
        <v>0</v>
      </c>
      <c r="W40" s="169">
        <v>50000</v>
      </c>
      <c r="X40" s="183" t="s">
        <v>143</v>
      </c>
      <c r="Y40" s="192">
        <f>ROUNDDOWN(B45*0.5,0)</f>
        <v>0</v>
      </c>
      <c r="Z40" s="115">
        <f>IF(B45&lt;=W40,Y40,Y41)</f>
        <v>0</v>
      </c>
      <c r="AA40" s="115"/>
    </row>
    <row r="41" spans="1:27" ht="14.25">
      <c r="A41" t="s">
        <v>43</v>
      </c>
      <c r="B41" s="85">
        <f>控除額!C46</f>
        <v>0</v>
      </c>
      <c r="C41" s="85"/>
      <c r="D41" s="15"/>
      <c r="F41" s="85"/>
      <c r="G41" s="85"/>
      <c r="H41" s="96"/>
      <c r="I41" s="96"/>
      <c r="J41" s="105"/>
      <c r="M41" s="130" t="s">
        <v>38</v>
      </c>
      <c r="N41" s="149">
        <v>0</v>
      </c>
      <c r="O41" s="177">
        <v>15000</v>
      </c>
      <c r="P41" s="187"/>
      <c r="Q41" s="201">
        <f>B43</f>
        <v>0</v>
      </c>
      <c r="R41" s="115"/>
      <c r="U41" s="120"/>
      <c r="V41" s="150">
        <f>+W40+1</f>
        <v>50001</v>
      </c>
      <c r="W41" s="161" t="s">
        <v>35</v>
      </c>
      <c r="X41" s="185">
        <v>25000</v>
      </c>
      <c r="Y41" s="194">
        <v>25000</v>
      </c>
      <c r="Z41" s="232">
        <f>IF(Z37=0,Z40,Z37+Z40)</f>
        <v>0</v>
      </c>
      <c r="AA41" s="233"/>
    </row>
    <row r="42" spans="1:27">
      <c r="A42" t="s">
        <v>73</v>
      </c>
      <c r="B42" s="85">
        <f>控除額!C47</f>
        <v>0</v>
      </c>
      <c r="C42" s="85"/>
      <c r="D42" s="15"/>
      <c r="F42" s="85"/>
      <c r="G42" s="85"/>
      <c r="M42" s="131"/>
      <c r="N42" s="149">
        <v>15001</v>
      </c>
      <c r="O42" s="177">
        <v>40000</v>
      </c>
      <c r="P42" s="187" t="s">
        <v>81</v>
      </c>
      <c r="Q42" s="201">
        <f>B43*0.5+7500</f>
        <v>7500</v>
      </c>
      <c r="R42" s="115"/>
      <c r="S42" t="s">
        <v>62</v>
      </c>
      <c r="U42" s="121"/>
      <c r="V42" s="151"/>
      <c r="W42" s="170"/>
      <c r="X42" s="170"/>
    </row>
    <row r="43" spans="1:27" ht="13.5" customHeight="1">
      <c r="A43" t="s">
        <v>41</v>
      </c>
      <c r="B43" s="85">
        <f>控除額!C48</f>
        <v>0</v>
      </c>
      <c r="C43" s="85"/>
      <c r="D43" s="15"/>
      <c r="F43" s="85"/>
      <c r="G43" s="85"/>
      <c r="M43" s="131"/>
      <c r="N43" s="149">
        <v>40001</v>
      </c>
      <c r="O43" s="177">
        <v>70000</v>
      </c>
      <c r="P43" s="187" t="s">
        <v>82</v>
      </c>
      <c r="Q43" s="201">
        <f>B43*0.25+17500</f>
        <v>17500</v>
      </c>
      <c r="R43" s="115">
        <f>ROUNDUP(IF(B43&lt;=O41,Q41,IF(AND(B43&gt;=N42,B43&lt;=O42),Q42,IF(AND(B43&gt;=N43,B43&lt;=O43),Q43,IF(B43&gt;=N44,Q44)))),0)</f>
        <v>0</v>
      </c>
      <c r="S43">
        <f>MAX(R43,R51,T43)</f>
        <v>0</v>
      </c>
      <c r="T43">
        <f>IF(R43+R51&lt;=28000,R43+R51,28000)</f>
        <v>0</v>
      </c>
    </row>
    <row r="44" spans="1:27">
      <c r="A44" t="s">
        <v>32</v>
      </c>
      <c r="B44" s="85">
        <f>控除額!C49</f>
        <v>0</v>
      </c>
      <c r="C44" s="85"/>
      <c r="D44" s="15"/>
      <c r="F44" s="85"/>
      <c r="G44" s="85"/>
      <c r="M44" s="132"/>
      <c r="N44" s="149">
        <v>70001</v>
      </c>
      <c r="O44" s="178" t="s">
        <v>35</v>
      </c>
      <c r="P44" s="187">
        <v>35000</v>
      </c>
      <c r="Q44" s="201">
        <v>35000</v>
      </c>
      <c r="R44" s="115"/>
      <c r="X44" t="s">
        <v>263</v>
      </c>
    </row>
    <row r="45" spans="1:27">
      <c r="A45" t="s">
        <v>30</v>
      </c>
      <c r="B45" s="85">
        <f>控除額!C50</f>
        <v>0</v>
      </c>
      <c r="C45" s="85"/>
      <c r="D45" s="15" t="s">
        <v>22</v>
      </c>
      <c r="E45" s="85">
        <f>IF(Z41&lt;=25000,Z41,25000)</f>
        <v>0</v>
      </c>
      <c r="F45" s="85">
        <f>S18-E45</f>
        <v>0</v>
      </c>
      <c r="G45" s="85">
        <f>S18</f>
        <v>0</v>
      </c>
      <c r="M45" s="133" t="s">
        <v>75</v>
      </c>
      <c r="N45" s="149">
        <v>0</v>
      </c>
      <c r="O45" s="177">
        <v>12000</v>
      </c>
      <c r="P45" s="188"/>
      <c r="Q45" s="202">
        <f>B40</f>
        <v>0</v>
      </c>
      <c r="R45" s="115"/>
      <c r="U45" t="s">
        <v>283</v>
      </c>
      <c r="Z45" t="s">
        <v>286</v>
      </c>
      <c r="AA45" t="s">
        <v>287</v>
      </c>
    </row>
    <row r="46" spans="1:27">
      <c r="A46" t="s">
        <v>133</v>
      </c>
      <c r="B46" s="85">
        <f>控除額!C51</f>
        <v>0</v>
      </c>
      <c r="D46" s="15" t="s">
        <v>23</v>
      </c>
      <c r="E46" s="85">
        <f>控除額!C52</f>
        <v>0</v>
      </c>
      <c r="F46" s="85"/>
      <c r="G46" s="85">
        <f>E46</f>
        <v>0</v>
      </c>
      <c r="H46" s="96"/>
      <c r="M46" s="134"/>
      <c r="N46" s="149">
        <v>12001</v>
      </c>
      <c r="O46" s="177">
        <v>32000</v>
      </c>
      <c r="P46" s="188" t="s">
        <v>83</v>
      </c>
      <c r="Q46" s="202">
        <f>B40*0.5+6000</f>
        <v>6000</v>
      </c>
      <c r="R46" s="115"/>
      <c r="V46" t="s">
        <v>40</v>
      </c>
      <c r="W46" t="s">
        <v>186</v>
      </c>
      <c r="X46">
        <f>控除額!$F$33</f>
        <v>0</v>
      </c>
      <c r="Y46" s="85">
        <f>ROUNDDOWN(IF(W47&lt;=650999,0,IF(AND(W47&gt;=651000,W47&lt;=1899999),W47-650000,IF(AND(W47&gt;=1900000,W47&lt;=3599999),ROUNDDOWN(W47/4,-3)*2.8-80000,IF(AND(W47&gt;=3600000,W47&lt;=6599999),ROUNDDOWN(W47/4,-3)*3.2-440000,IF(AND(W47&gt;=6600000,W47&lt;=8499999),ROUNDDOWN(W47*0.9,0)-1100000,IF(W47&gt;=8500000,W47-1950000,0)))))),0)</f>
        <v>0</v>
      </c>
      <c r="AA46" s="85"/>
    </row>
    <row r="47" spans="1:27">
      <c r="D47" s="86" t="s">
        <v>54</v>
      </c>
      <c r="G47" s="85">
        <f>計算!J17</f>
        <v>0</v>
      </c>
      <c r="H47" s="96"/>
      <c r="M47" s="134"/>
      <c r="N47" s="149">
        <v>32001</v>
      </c>
      <c r="O47" s="177">
        <v>56000</v>
      </c>
      <c r="P47" s="187" t="s">
        <v>84</v>
      </c>
      <c r="Q47" s="201">
        <f>B40*0.25+14000</f>
        <v>14000</v>
      </c>
      <c r="R47" s="115">
        <f>ROUNDUP(IF(B40&lt;=O45,Q45,IF(AND(B40&gt;=N46,B40&lt;=O46),Q46,IF(AND(B40&gt;=N47,B40&lt;=O47),Q47,IF(B40&gt;=N48,Q48)))),0)</f>
        <v>0</v>
      </c>
      <c r="V47" t="s">
        <v>5</v>
      </c>
      <c r="W47" s="85">
        <f>控除額!$G$33</f>
        <v>0</v>
      </c>
      <c r="X47" t="s">
        <v>12</v>
      </c>
      <c r="Y47" s="85">
        <f>IF(Y49&gt;0,Y46-Y49,Y46)</f>
        <v>0</v>
      </c>
      <c r="AA47" s="85"/>
    </row>
    <row r="48" spans="1:27">
      <c r="D48" s="15" t="s">
        <v>134</v>
      </c>
      <c r="E48" s="85">
        <f>IF(B7&lt;=24000000,430000,IF(AND(B7&gt;24000000,B7&lt;=24500000),290000,IF(AND(B7&gt;24500000,B7&lt;=25000000),150000,IF(B7&gt;25000000,0,0))))</f>
        <v>430000</v>
      </c>
      <c r="F48" s="85">
        <f>G48-E48</f>
        <v>520000</v>
      </c>
      <c r="G48" s="85">
        <f>IF(B1&lt;=N62,O62,IF(AND(B1&gt;=M63,B1&lt;=N63),O63,IF(AND(B1&gt;=M64,B1&lt;=N64),O64,IF(AND(B1&gt;=M65,B1&lt;=N65),O65,IF(AND(B1&gt;=M66,B1&lt;=N66),O66,IF(B1&gt;=M67,O67))))))</f>
        <v>950000</v>
      </c>
      <c r="H48" s="96"/>
      <c r="M48" s="135"/>
      <c r="N48" s="149">
        <v>56001</v>
      </c>
      <c r="O48" s="178" t="s">
        <v>35</v>
      </c>
      <c r="P48" s="187">
        <v>28000</v>
      </c>
      <c r="Q48" s="201">
        <v>28000</v>
      </c>
      <c r="R48" s="115"/>
      <c r="V48" t="s">
        <v>112</v>
      </c>
      <c r="W48" s="85">
        <f>控除額!$H$33</f>
        <v>0</v>
      </c>
      <c r="X48" t="s">
        <v>125</v>
      </c>
      <c r="Y48" s="85">
        <f>MAX(IF(V49="〇",W48-W49,IF(V50="〇",W48-W50)),0)</f>
        <v>0</v>
      </c>
      <c r="AA48" s="85"/>
    </row>
    <row r="49" spans="1:27">
      <c r="D49" s="15" t="s">
        <v>93</v>
      </c>
      <c r="E49" s="103">
        <f>E8+E20+E21+E23+E30+E35+E37+E38+E40+E45+E46+E48</f>
        <v>430000</v>
      </c>
      <c r="F49" s="103">
        <f>F8+F20+F21+F23+F30+F37+F48</f>
        <v>520000</v>
      </c>
      <c r="G49" s="104" t="s">
        <v>272</v>
      </c>
      <c r="M49" s="136" t="s">
        <v>77</v>
      </c>
      <c r="N49" s="149">
        <v>0</v>
      </c>
      <c r="O49" s="177">
        <v>12000</v>
      </c>
      <c r="P49" s="187"/>
      <c r="Q49" s="201">
        <f>B42</f>
        <v>0</v>
      </c>
      <c r="R49" s="115"/>
      <c r="U49" t="s">
        <v>128</v>
      </c>
      <c r="V49" s="85" t="str">
        <f>IF(OR(X46="65～69",X46="70～(同居)",X46="70～(別居)"),"〇","")</f>
        <v/>
      </c>
      <c r="W49" s="85">
        <f>IF(W48&lt;3300000,1100000,IF(AND(W48&gt;=3300000,W48&lt;4100000),W48*0.25+275000,IF(AND(W48&gt;=4100000,W48&lt;7700000),W48*0.15+685000,IF(AND(W48&gt;=7700000,W48&lt;10000000),W48*0.05+1455000,IF(W48&gt;=10000000,1955000,0)))))</f>
        <v>1100000</v>
      </c>
      <c r="X49" t="s">
        <v>285</v>
      </c>
      <c r="Y49" s="85">
        <f>MAX(IF(Y48&gt;=100000,100000,Y48)+IF(Y46&gt;=100000,100000,Y46)-100000,0)</f>
        <v>0</v>
      </c>
      <c r="AA49" s="85"/>
    </row>
    <row r="50" spans="1:27">
      <c r="D50" s="15"/>
      <c r="E50" s="96"/>
      <c r="F50" s="96">
        <f>G8+G20+G21+G23+G30+G35+G37+G38+G40+G45+G46+G48+G47</f>
        <v>950000</v>
      </c>
      <c r="G50" s="85" t="s">
        <v>131</v>
      </c>
      <c r="M50" s="137"/>
      <c r="N50" s="149">
        <v>12001</v>
      </c>
      <c r="O50" s="177">
        <v>32000</v>
      </c>
      <c r="P50" s="187" t="s">
        <v>83</v>
      </c>
      <c r="Q50" s="201">
        <f>B42*0.5+6000</f>
        <v>6000</v>
      </c>
      <c r="R50" s="115"/>
      <c r="U50" t="s">
        <v>288</v>
      </c>
      <c r="V50" s="85" t="str">
        <f>IF(OR(X46="～15",X46="16～18",X46="19～22",X46="23～64"),"〇","")</f>
        <v/>
      </c>
      <c r="W50" s="85">
        <f>IF(W48&lt;1300000,600000,IF(AND(W48&gt;=1300000,W48&lt;4100000),W48*0.25+275000,IF(AND(W48&gt;=4100000,W48&lt;7700000),W48*0.15+685000,IF(AND(W48&gt;=7700000,W48&lt;10000000),W48*0.05+1455000,IF(W48&gt;=10000000,1955000)))))</f>
        <v>600000</v>
      </c>
      <c r="X50" s="226" t="s">
        <v>282</v>
      </c>
      <c r="Y50" s="231">
        <f>控除額!I34</f>
        <v>0</v>
      </c>
      <c r="AA50" s="85"/>
    </row>
    <row r="51" spans="1:27" ht="13.5" customHeight="1">
      <c r="C51" s="85"/>
      <c r="M51" s="137"/>
      <c r="N51" s="149">
        <v>32001</v>
      </c>
      <c r="O51" s="177">
        <v>56000</v>
      </c>
      <c r="P51" s="187" t="s">
        <v>84</v>
      </c>
      <c r="Q51" s="201">
        <f>B42*0.25+14000</f>
        <v>14000</v>
      </c>
      <c r="R51" s="115">
        <f>ROUNDUP(IF(B42&lt;=O49,Q49,IF(AND(B42&gt;=N50,B42&lt;=O50),Q50,IF(AND(B42&gt;=N51,B42&lt;=O51),Q51,IF(B42&gt;=N52,Q52)))),0)</f>
        <v>0</v>
      </c>
      <c r="U51" t="s">
        <v>289</v>
      </c>
      <c r="V51" t="s">
        <v>87</v>
      </c>
      <c r="W51">
        <f>IF(Z52&lt;&gt;"特定親族特別",0,IF(AND(Y51&gt;$M$73,Y51&lt;=$N$73),$O$73,IF(AND(Y51&gt;$M$74,Y51&lt;=$N$74),$O$74,IF(AND(Y51&gt;$M$75,Y51&lt;=$N$75),$O$75,IF(AND(Y51&gt;$M$76,Y51&lt;=$N$76),$O$76,IF(AND(Y51&gt;$M$77,Y51&lt;=$N$77),$O$77,IF(AND(Y51&gt;$M$78,Y51&lt;=$N$78),$O$78,IF(AND(Y51&gt;$M$79,Y51&lt;=$N$79),$O$79,IF(AND(Y51&gt;$M$80,Y51&lt;=$N$80),$O$80,IF(AND(Y51&gt;$M$81,Y51&lt;=$N$81),$O$81,0))))))))))</f>
        <v>0</v>
      </c>
      <c r="X51" t="s">
        <v>19</v>
      </c>
      <c r="Y51" s="85">
        <f>Y47+Y48+Y49+Y50</f>
        <v>0</v>
      </c>
      <c r="AA51" s="85"/>
    </row>
    <row r="52" spans="1:27">
      <c r="A52" t="s">
        <v>2</v>
      </c>
      <c r="B52" s="85">
        <f>ROUNDDOWN(IF(B7-E49&lt;0,0,B7-E49),-3)</f>
        <v>0</v>
      </c>
      <c r="D52" s="15" t="s">
        <v>231</v>
      </c>
      <c r="E52" s="85">
        <f>IF(B52&lt;=10000000,B5*0.028,IF(B52-B5&gt;10000000,B5*0.014,(10000000-(B52-B5))*0.028+(B5-(10000000-(B52-B5)))*0.014))</f>
        <v>0</v>
      </c>
      <c r="F52" s="85">
        <f>IF(E56&lt;=10000000,B5*0.1,IF(E56-B5&gt;10000000,B5*0.05,(10000000-(E56-B5))*0.1+(B5-(10000000-(E56-B5)))*0.05))</f>
        <v>0</v>
      </c>
      <c r="M52" s="138"/>
      <c r="N52" s="149">
        <v>56000</v>
      </c>
      <c r="O52" s="178" t="s">
        <v>35</v>
      </c>
      <c r="P52" s="187">
        <v>28000</v>
      </c>
      <c r="Q52" s="201">
        <v>28000</v>
      </c>
      <c r="R52" s="115"/>
      <c r="V52" t="s">
        <v>290</v>
      </c>
      <c r="W52" s="60">
        <f>IF(Z52&lt;&gt;"特定親族特別",0,IF(AND(Y51&gt;$Q$73,Y51&lt;=$R$73),$S$73,IF(AND(Y51&gt;$Q$74,Y51&lt;=$R$74),$S$74,IF(AND(Y51&gt;$Q$75,Y51&lt;=$R$75),$S$75,IF(AND(Y51&gt;$Q$76,Y51&lt;=$R$76),$S$76,IF(AND(Y51&gt;$Q$77,Y51&lt;=$R$77),$S$77,IF(AND(Y51&gt;$Q$78,Y51&lt;=$R$78),$S$78,IF(AND(Y51&gt;$Q$79,Y51&lt;=$R$79),$S$79,0))))))))</f>
        <v>0</v>
      </c>
      <c r="Z52" t="str">
        <f>IF(AND(X46="～15",Y51&lt;=580000),"16未満",IF(AND(OR(X46="16～18",X46="23～64",X46="65～69"),Y51&lt;=580000),"その他扶養",IF(AND(X46="70～(同居)",Y51&lt;=580000),"同居老人",IF(AND(X46="70～(別居)",Y51&lt;=580000),"別居老人",IF(AND(X46="19～22",Y51&lt;=580000),"特定扶養",IF(AND(X46="19～22",Y51&gt;580000,Y51&lt;=1230000),"特定親族特別","扶養対象外"))))))</f>
        <v>扶養対象外</v>
      </c>
      <c r="AA52" s="85">
        <f>IF(OR(Z52="扶養対象外",Z52="16未満"),0,IF(Z52="その他扶養",330000,IF(Z52="同居老人",450000,IF(Z52="別居老人",380000,IF(Z52="特定扶養",450000,IF(Z52="特定親族特別",W52))))))</f>
        <v>0</v>
      </c>
    </row>
    <row r="53" spans="1:27">
      <c r="A53" t="s">
        <v>132</v>
      </c>
      <c r="B53" s="85">
        <f>IF(C53=0,0,IF(AND(B52&gt;2000000,F49-(B52-2000000)&lt;=50000),2500,C53))</f>
        <v>0</v>
      </c>
      <c r="C53" s="85">
        <f>IF(B7&gt;25000000,0,IF(B52&lt;=2000000,MIN(B52,F49)*0.05,IF(B52&gt;2000000,(F49-B52+2000000)*0.05)))</f>
        <v>0</v>
      </c>
      <c r="D53" s="15" t="s">
        <v>25</v>
      </c>
      <c r="F53" s="85">
        <f>控除額!C56</f>
        <v>0</v>
      </c>
      <c r="G53" s="85"/>
      <c r="M53" s="136" t="s">
        <v>78</v>
      </c>
      <c r="N53" s="149">
        <v>0</v>
      </c>
      <c r="O53" s="177">
        <v>12000</v>
      </c>
      <c r="P53" s="188"/>
      <c r="Q53" s="202">
        <f>B44</f>
        <v>0</v>
      </c>
      <c r="R53" s="115"/>
      <c r="AA53" s="85"/>
    </row>
    <row r="54" spans="1:27">
      <c r="A54" t="s">
        <v>223</v>
      </c>
      <c r="B54" s="85">
        <f>IF(E34=1,0,IF(AND(E31+E32=0,B7&lt;=450000),0,IF(AND(OR(E31&gt;=1,E32&gt;=1),B7&lt;=E33*350000+420000),0,B52*0.1-B53)))</f>
        <v>0</v>
      </c>
      <c r="D54" s="15"/>
      <c r="F54" s="85"/>
      <c r="G54" s="85"/>
      <c r="M54" s="137"/>
      <c r="N54" s="149">
        <v>12001</v>
      </c>
      <c r="O54" s="177">
        <v>32001</v>
      </c>
      <c r="P54" s="188" t="s">
        <v>83</v>
      </c>
      <c r="Q54" s="202">
        <f>B44*0.5+6000</f>
        <v>6000</v>
      </c>
      <c r="R54" s="115"/>
      <c r="S54" t="s">
        <v>76</v>
      </c>
      <c r="V54" t="s">
        <v>291</v>
      </c>
      <c r="W54" t="s">
        <v>186</v>
      </c>
      <c r="X54">
        <f>控除額!$F$34</f>
        <v>0</v>
      </c>
      <c r="Y54" s="85">
        <f>ROUNDDOWN(IF(W55&lt;=650999,0,IF(AND(W55&gt;=651000,W55&lt;=1899999),W55-650000,IF(AND(W55&gt;=1900000,W55&lt;=3599999),ROUNDDOWN(W55/4,-3)*2.8-80000,IF(AND(W55&gt;=3600000,W55&lt;=6599999),ROUNDDOWN(W55/4,-3)*3.2-440000,IF(AND(W55&gt;=6600000,W55&lt;=8499999),ROUNDDOWN(W55*0.9,0)-1100000,IF(W55&gt;=8500000,W55-1950000,0)))))),0)</f>
        <v>0</v>
      </c>
      <c r="AA54" s="85"/>
    </row>
    <row r="55" spans="1:27" ht="13.5" customHeight="1">
      <c r="A55" t="s">
        <v>224</v>
      </c>
      <c r="B55" s="85">
        <f>ROUNDUP(IF(F53-E57&lt;=0,0,MIN(C55,F53-E58)),0)</f>
        <v>0</v>
      </c>
      <c r="C55" s="85">
        <f>IF(OR(控除額!C57="平成26年3月以前",控除額!C57="令和4年1月以降(4年中に契約)"),MIN(E56*0.05,97500),IF(OR(控除額!C57="平成26年4月以降",控除額!C57="令和4年1月以降(契約は3年中)"),MIN(E56*0.07,136500),0))</f>
        <v>0</v>
      </c>
      <c r="D55" s="101" t="s">
        <v>48</v>
      </c>
      <c r="E55" s="85">
        <f>IF(B52=0,0,B52-F49)</f>
        <v>0</v>
      </c>
      <c r="F55" s="85"/>
      <c r="G55" s="85"/>
      <c r="M55" s="137"/>
      <c r="N55" s="149">
        <v>32000</v>
      </c>
      <c r="O55" s="177">
        <v>56000</v>
      </c>
      <c r="P55" s="187" t="s">
        <v>84</v>
      </c>
      <c r="Q55" s="201">
        <f>B44*0.25+14000</f>
        <v>14000</v>
      </c>
      <c r="R55" s="115">
        <f>ROUNDUP(IF(B44&lt;=O53,Q53,IF(AND(B44&gt;=N54,B44&lt;=O54),Q54,IF(AND(B44&gt;=N55,B44&lt;=O55),Q55,IF(B44&gt;=N56,Q56)))),0)</f>
        <v>0</v>
      </c>
      <c r="S55">
        <f>R55</f>
        <v>0</v>
      </c>
      <c r="V55" t="s">
        <v>5</v>
      </c>
      <c r="W55" s="85">
        <f>控除額!$G$34</f>
        <v>0</v>
      </c>
      <c r="X55" t="s">
        <v>12</v>
      </c>
      <c r="Y55" s="85">
        <f>IF(Y57&gt;0,Y54-Y57,Y54)</f>
        <v>0</v>
      </c>
      <c r="AA55" s="85"/>
    </row>
    <row r="56" spans="1:27" ht="14.25">
      <c r="A56" s="60" t="s">
        <v>233</v>
      </c>
      <c r="B56" s="96">
        <f>IF(B54=0,0,B54-B55-E52)</f>
        <v>0</v>
      </c>
      <c r="D56" s="15" t="s">
        <v>102</v>
      </c>
      <c r="E56" s="85">
        <f>ROUNDDOWN(IF(B7-F50&lt;0,0,B7-F50),-3)</f>
        <v>0</v>
      </c>
      <c r="F56" s="85"/>
      <c r="G56" s="85"/>
      <c r="M56" s="139"/>
      <c r="N56" s="150">
        <v>56001</v>
      </c>
      <c r="O56" s="161" t="s">
        <v>35</v>
      </c>
      <c r="P56" s="189">
        <v>28000</v>
      </c>
      <c r="Q56" s="203">
        <v>28000</v>
      </c>
      <c r="V56" t="s">
        <v>112</v>
      </c>
      <c r="W56" s="85">
        <f>控除額!$H$34</f>
        <v>0</v>
      </c>
      <c r="X56" t="s">
        <v>125</v>
      </c>
      <c r="Y56" s="85">
        <f>MAX(IF(V57="〇",W56-W57,IF(V58="〇",W56-W58)),0)</f>
        <v>0</v>
      </c>
      <c r="AA56" s="85"/>
    </row>
    <row r="57" spans="1:27">
      <c r="A57" s="235" t="s">
        <v>225</v>
      </c>
      <c r="B57" s="235">
        <f>IF(E34=1,0,IF(AND(E32+E31=0,B7&lt;=380000),0,IF(AND(OR(E32&gt;=1,E31&gt;=1),B7&lt;=E33*280000+270000),0,5000)))</f>
        <v>0</v>
      </c>
      <c r="D57" s="102" t="s">
        <v>6</v>
      </c>
      <c r="E57" s="96">
        <f>IF(AND(E56&gt;=M24,E56&lt;=N24),E56*0.05,IF(AND(E56&gt;=M25,E56&lt;=N25),E56*0.1-97500,IF(AND(E56&gt;=M26,E56&lt;=N26),E56*0.2-427500,IF(AND(E56&gt;=M27,E56&lt;=N27),E56*0.23-636000,IF(AND(E56&gt;=M28,E56&lt;=N28),E56*0.33-1536000,IF(AND(E56&gt;=M29,E56&lt;=N29),E56*0.4-2796000,IF(E56&gt;=M30,E56*0.45-4796000,0)))))))</f>
        <v>0</v>
      </c>
      <c r="F57" s="85"/>
      <c r="U57" t="s">
        <v>128</v>
      </c>
      <c r="V57" s="85" t="str">
        <f>IF(OR(X54="65～69",X54="70～(同居)",X54="70～(別居)"),"〇","")</f>
        <v/>
      </c>
      <c r="W57" s="85">
        <f>IF(W56&lt;3300000,1100000,IF(AND(W56&gt;=3300000,W56&lt;4100000),W56*0.25+275000,IF(AND(W56&gt;=4100000,W56&lt;7700000),W56*0.15+685000,IF(AND(W56&gt;=7700000,W56&lt;10000000),W56*0.05+1455000,IF(W56&gt;=10000000,1955000,0)))))</f>
        <v>1100000</v>
      </c>
      <c r="X57" t="s">
        <v>285</v>
      </c>
      <c r="Y57" s="85">
        <f>MAX(IF(Y56&gt;=100000,100000,Y56)+IF(Y54&gt;=100000,100000,Y54)-100000,0)</f>
        <v>0</v>
      </c>
      <c r="AA57" s="85"/>
    </row>
    <row r="58" spans="1:27">
      <c r="A58" s="96" t="s">
        <v>45</v>
      </c>
      <c r="B58" s="96">
        <f>B56+B57</f>
        <v>0</v>
      </c>
      <c r="D58" s="102" t="s">
        <v>221</v>
      </c>
      <c r="E58" s="96">
        <f>E57-E60-E59</f>
        <v>0</v>
      </c>
      <c r="F58" s="85"/>
      <c r="G58" s="85"/>
      <c r="S58" t="s">
        <v>90</v>
      </c>
      <c r="U58" t="s">
        <v>288</v>
      </c>
      <c r="V58" s="85" t="str">
        <f>IF(OR(X54="～15",X54="16～18",X54="19～22",X54="23～64"),"〇","")</f>
        <v/>
      </c>
      <c r="W58" s="85">
        <f>IF(W56&lt;1300000,600000,IF(AND(W56&gt;=1300000,W56&lt;4100000),W56*0.25+275000,IF(AND(W56&gt;=4100000,W56&lt;7700000),W56*0.15+685000,IF(AND(W56&gt;=7700000,W56&lt;10000000),W56*0.05+1455000,IF(W56&gt;=10000000,1955000)))))</f>
        <v>600000</v>
      </c>
      <c r="X58" s="226" t="s">
        <v>282</v>
      </c>
      <c r="Y58" s="231">
        <f>控除額!I41</f>
        <v>0</v>
      </c>
      <c r="AA58" s="85"/>
    </row>
    <row r="59" spans="1:27">
      <c r="D59" s="86" t="s">
        <v>239</v>
      </c>
      <c r="E59" s="85">
        <f>F52</f>
        <v>0</v>
      </c>
      <c r="F59" s="85"/>
      <c r="G59" s="85"/>
      <c r="H59" s="96"/>
      <c r="I59" s="96"/>
      <c r="J59" s="96"/>
      <c r="S59">
        <f>IF(S39+S43+S55&lt;70000,S39+S43+S55,70000)</f>
        <v>0</v>
      </c>
      <c r="U59" t="s">
        <v>289</v>
      </c>
      <c r="V59" t="s">
        <v>87</v>
      </c>
      <c r="W59">
        <f>IF(Z60&lt;&gt;"特定親族特別",0,IF(AND(Y59&gt;$M$73,Y59&lt;=$N$73),$O$73,IF(AND(Y59&gt;$M$74,Y59&lt;=$N$74),$O$74,IF(AND(Y59&gt;$M$75,Y59&lt;=$N$75),$O$75,IF(AND(Y59&gt;$M$76,Y59&lt;=$N$76),$O$76,IF(AND(Y59&gt;$M$77,Y59&lt;=$N$77),$O$77,IF(AND(Y59&gt;$M$78,Y59&lt;=$N$78),$O$78,IF(AND(Y59&gt;$M$79,Y59&lt;=$N$79),$O$79,IF(AND(Y59&gt;$M$80,Y59&lt;=$N$80),$O$80,IF(AND(Y59&gt;$M$81,Y59&lt;=$N$81),$O$81,0))))))))))</f>
        <v>0</v>
      </c>
      <c r="X59" t="s">
        <v>19</v>
      </c>
      <c r="Y59" s="85">
        <f>Y55+Y56+Y57+Y58</f>
        <v>0</v>
      </c>
      <c r="AA59" s="85"/>
    </row>
    <row r="60" spans="1:27" ht="14.25">
      <c r="D60" s="102" t="s">
        <v>232</v>
      </c>
      <c r="E60" s="96">
        <f>IF(OR(E57-F53&lt;0,E57-E59&lt;0,E57-F53-E59&lt;0),0,E57-F53-E59)</f>
        <v>0</v>
      </c>
      <c r="F60" s="85"/>
      <c r="G60" s="85"/>
      <c r="H60" s="15"/>
      <c r="I60" s="96"/>
      <c r="J60" s="96"/>
      <c r="M60" s="60" t="s">
        <v>134</v>
      </c>
      <c r="V60" t="s">
        <v>290</v>
      </c>
      <c r="W60" s="60">
        <f>IF(Z60&lt;&gt;"特定親族特別",0,IF(AND(Y59&gt;$Q$73,Y59&lt;=$R$73),$S$73,IF(AND(Y59&gt;$Q$74,Y59&lt;=$R$74),$S$74,IF(AND(Y59&gt;$Q$75,Y59&lt;=$R$75),$S$75,IF(AND(Y59&gt;$Q$76,Y59&lt;=$R$76),$S$76,IF(AND(Y59&gt;$Q$77,Y59&lt;=$R$77),$S$77,IF(AND(Y59&gt;$Q$78,Y59&lt;=$R$78),$S$78,IF(AND(Y59&gt;$Q$79,Y59&lt;=$R$79),$S$79,0))))))))</f>
        <v>0</v>
      </c>
      <c r="Z60" t="str">
        <f>IF(AND(X54="～15",Y59&lt;=580000),"16未満",IF(AND(OR(X54="16～18",X54="23～64",X54="65～69"),Y59&lt;=580000),"その他扶養",IF(AND(X54="70～(同居)",Y59&lt;=580000),"同居老人",IF(AND(X54="70～(別居)",Y59&lt;=580000),"別居老人",IF(AND(X54="19～22",Y59&lt;=580000),"特定扶養",IF(AND(X54="19～22",Y59&gt;580000,Y59&lt;=1230000),"特定親族特別","扶養対象外"))))))</f>
        <v>扶養対象外</v>
      </c>
      <c r="AA60" s="85">
        <f>IF(OR(Z60="扶養対象外",Z60="16未満"),0,IF(Z60="その他扶養",330000,IF(Z60="同居老人",450000,IF(Z60="別居老人",380000,IF(Z60="特定扶養",450000,IF(Z60="特定親族特別",W60))))))</f>
        <v>0</v>
      </c>
    </row>
    <row r="61" spans="1:27" ht="15">
      <c r="A61" t="s">
        <v>190</v>
      </c>
      <c r="D61" s="242" t="s">
        <v>215</v>
      </c>
      <c r="E61" s="235">
        <f>ROUNDDOWN(E60*0.021,0)</f>
        <v>0</v>
      </c>
      <c r="F61" s="85"/>
      <c r="H61" s="15"/>
      <c r="I61" s="96"/>
      <c r="J61" s="96"/>
      <c r="M61" s="140" t="s">
        <v>5</v>
      </c>
      <c r="N61" s="159"/>
      <c r="O61" s="179" t="s">
        <v>197</v>
      </c>
      <c r="AA61" s="85"/>
    </row>
    <row r="62" spans="1:27" ht="14.25">
      <c r="A62" s="236" t="s">
        <v>191</v>
      </c>
      <c r="B62" s="239">
        <f>計算!J7</f>
        <v>0</v>
      </c>
      <c r="D62" s="102" t="s">
        <v>87</v>
      </c>
      <c r="E62" s="96">
        <f>E60+E61</f>
        <v>0</v>
      </c>
      <c r="H62" s="15"/>
      <c r="I62" s="96"/>
      <c r="J62" s="96"/>
      <c r="M62" s="141">
        <v>0</v>
      </c>
      <c r="N62" s="160">
        <v>2000000</v>
      </c>
      <c r="O62" s="180">
        <f>480000+100000+370000</f>
        <v>950000</v>
      </c>
      <c r="V62" t="s">
        <v>64</v>
      </c>
      <c r="W62" t="s">
        <v>186</v>
      </c>
      <c r="X62">
        <f>控除額!$F$35</f>
        <v>0</v>
      </c>
      <c r="Y62" s="85">
        <f>ROUNDDOWN(IF(W63&lt;=650999,0,IF(AND(W63&gt;=651000,W63&lt;=1899999),W63-650000,IF(AND(W63&gt;=1900000,W63&lt;=3599999),ROUNDDOWN(W63/4,-3)*2.8-80000,IF(AND(W63&gt;=3600000,W63&lt;=6599999),ROUNDDOWN(W63/4,-3)*3.2-440000,IF(AND(W63&gt;=6600000,W63&lt;=8499999),ROUNDDOWN(W63*0.9,0)-1100000,IF(W63&gt;=8500000,W63-1950000,0)))))),0)</f>
        <v>0</v>
      </c>
      <c r="AA62" s="85"/>
    </row>
    <row r="63" spans="1:27">
      <c r="A63" s="237" t="s">
        <v>11</v>
      </c>
      <c r="B63" s="240">
        <f>計算!F49+'計算 (2)'!B62</f>
        <v>950000</v>
      </c>
      <c r="H63" s="15"/>
      <c r="I63" s="96"/>
      <c r="J63" s="96"/>
      <c r="M63" s="141">
        <v>2000001</v>
      </c>
      <c r="N63" s="160">
        <v>4750000</v>
      </c>
      <c r="O63" s="180">
        <f>480000+100000+300000</f>
        <v>880000</v>
      </c>
      <c r="V63" t="s">
        <v>5</v>
      </c>
      <c r="W63" s="85">
        <f>控除額!$G$35</f>
        <v>0</v>
      </c>
      <c r="X63" t="s">
        <v>12</v>
      </c>
      <c r="Y63" s="85">
        <f>IF(Y65&gt;0,Y62-Y65,Y62)</f>
        <v>0</v>
      </c>
      <c r="AA63" s="85"/>
    </row>
    <row r="64" spans="1:27">
      <c r="A64" s="237" t="s">
        <v>91</v>
      </c>
      <c r="B64" s="240">
        <f>ROUNDDOWN(IF(B7-B63&lt;0,0,B7-B63),-3)</f>
        <v>0</v>
      </c>
      <c r="H64" s="96"/>
      <c r="I64" s="96"/>
      <c r="J64" s="96"/>
      <c r="M64" s="141">
        <v>4750001</v>
      </c>
      <c r="N64" s="160">
        <v>6650000</v>
      </c>
      <c r="O64" s="180">
        <f>480000+100000+100000</f>
        <v>680000</v>
      </c>
      <c r="V64" t="s">
        <v>112</v>
      </c>
      <c r="W64" s="85">
        <f>控除額!$H$35</f>
        <v>0</v>
      </c>
      <c r="X64" t="s">
        <v>125</v>
      </c>
      <c r="Y64" s="85">
        <f>MAX(IF(V65="〇",W64-W65,IF(V66="〇",W64-W66)),0)</f>
        <v>0</v>
      </c>
      <c r="AA64" s="85"/>
    </row>
    <row r="65" spans="1:27">
      <c r="A65" s="237"/>
      <c r="B65" s="240"/>
      <c r="H65" s="102"/>
      <c r="I65" s="96"/>
      <c r="J65" s="96"/>
      <c r="M65" s="141">
        <v>6650001</v>
      </c>
      <c r="N65" s="160">
        <v>8500000</v>
      </c>
      <c r="O65" s="180">
        <f>480000+100000+50000</f>
        <v>630000</v>
      </c>
      <c r="U65" t="s">
        <v>128</v>
      </c>
      <c r="V65" s="85" t="str">
        <f>IF(OR(X62="65～69",X62="70～(同居)",X62="70～(別居)"),"〇","")</f>
        <v/>
      </c>
      <c r="W65" s="85">
        <f>IF(W64&lt;3300000,1100000,IF(AND(W64&gt;=3300000,W64&lt;4100000),W64*0.25+275000,IF(AND(W64&gt;=4100000,W64&lt;7700000),W64*0.15+685000,IF(AND(W64&gt;=7700000,W64&lt;10000000),W64*0.05+1455000,IF(W64&gt;=10000000,1955000,0)))))</f>
        <v>1100000</v>
      </c>
      <c r="X65" t="s">
        <v>285</v>
      </c>
      <c r="Y65" s="85">
        <f>MAX(IF(Y64&gt;=100000,100000,Y64)+IF(Y62&gt;=100000,100000,Y62)-100000,0)</f>
        <v>0</v>
      </c>
      <c r="AA65" s="85"/>
    </row>
    <row r="66" spans="1:27">
      <c r="A66" s="237" t="s">
        <v>14</v>
      </c>
      <c r="B66" s="240">
        <f>E49</f>
        <v>430000</v>
      </c>
      <c r="H66" s="102"/>
      <c r="I66" s="96"/>
      <c r="J66" s="96"/>
      <c r="M66" s="141">
        <v>8500001</v>
      </c>
      <c r="N66" s="160">
        <v>25450000</v>
      </c>
      <c r="O66" s="180">
        <f>480000+100000</f>
        <v>580000</v>
      </c>
      <c r="U66" t="s">
        <v>288</v>
      </c>
      <c r="V66" s="85" t="str">
        <f>IF(OR(X62="～15",X62="16～18",X62="19～22",X62="23～64"),"〇","")</f>
        <v/>
      </c>
      <c r="W66" s="85">
        <f>IF(W64&lt;1300000,600000,IF(AND(W64&gt;=1300000,W64&lt;4100000),W64*0.25+275000,IF(AND(W64&gt;=4100000,W64&lt;7700000),W64*0.15+685000,IF(AND(W64&gt;=7700000,W64&lt;10000000),W64*0.05+1455000,IF(W64&gt;=10000000,1955000)))))</f>
        <v>600000</v>
      </c>
      <c r="X66" s="226" t="s">
        <v>282</v>
      </c>
      <c r="Y66" s="231">
        <f>控除額!I49</f>
        <v>0</v>
      </c>
      <c r="AA66" s="85"/>
    </row>
    <row r="67" spans="1:27">
      <c r="A67" s="237" t="s">
        <v>189</v>
      </c>
      <c r="B67" s="240">
        <f>ROUNDDOWN(IF(B7-B66&lt;0,0,B7-B66),-3)</f>
        <v>0</v>
      </c>
      <c r="H67" s="102"/>
      <c r="I67" s="96"/>
      <c r="J67" s="96"/>
      <c r="M67" s="141">
        <v>25450001</v>
      </c>
      <c r="N67" s="160">
        <v>99999999</v>
      </c>
      <c r="O67" s="180">
        <v>0</v>
      </c>
      <c r="U67" t="s">
        <v>289</v>
      </c>
      <c r="V67" t="s">
        <v>87</v>
      </c>
      <c r="W67">
        <f>IF(Z68&lt;&gt;"特定親族特別",0,IF(AND(Y67&gt;$M$73,Y67&lt;=$N$73),$O$73,IF(AND(Y67&gt;$M$74,Y67&lt;=$N$74),$O$74,IF(AND(Y67&gt;$M$75,Y67&lt;=$N$75),$O$75,IF(AND(Y67&gt;$M$76,Y67&lt;=$N$76),$O$76,IF(AND(Y67&gt;$M$77,Y67&lt;=$N$77),$O$77,IF(AND(Y67&gt;$M$78,Y67&lt;=$N$78),$O$78,IF(AND(Y67&gt;$M$79,Y67&lt;=$N$79),$O$79,IF(AND(Y67&gt;$M$80,Y67&lt;=$N$80),$O$80,IF(AND(Y67&gt;$M$81,Y67&lt;=$N$81),$O$81,0))))))))))</f>
        <v>0</v>
      </c>
      <c r="X67" t="s">
        <v>19</v>
      </c>
      <c r="Y67" s="85">
        <f>Y63+Y64+Y65+Y66</f>
        <v>0</v>
      </c>
      <c r="AA67" s="85"/>
    </row>
    <row r="68" spans="1:27" ht="14.25">
      <c r="A68" s="237" t="s">
        <v>192</v>
      </c>
      <c r="B68" s="240">
        <f>IF(E34=1,0,IF(AND(E31+E32=0,B7&lt;=450000),0,IF(AND(OR(E31&gt;=1,E32&gt;=1),B7&lt;=E33*350000+420000),0,B67*0.1-B53)))</f>
        <v>0</v>
      </c>
      <c r="H68" s="102"/>
      <c r="I68" s="96"/>
      <c r="J68" s="96"/>
      <c r="M68" s="142"/>
      <c r="N68" s="161"/>
      <c r="O68" s="181"/>
      <c r="V68" t="s">
        <v>290</v>
      </c>
      <c r="W68" s="60">
        <f>IF(Z68&lt;&gt;"特定親族特別",0,IF(AND(Y67&gt;$Q$73,Y67&lt;=$R$73),$S$73,IF(AND(Y67&gt;$Q$74,Y67&lt;=$R$74),$S$74,IF(AND(Y67&gt;$Q$75,Y67&lt;=$R$75),$S$75,IF(AND(Y67&gt;$Q$76,Y67&lt;=$R$76),$S$76,IF(AND(Y67&gt;$Q$77,Y67&lt;=$R$77),$S$77,IF(AND(Y67&gt;$Q$78,Y67&lt;=$R$78),$S$78,IF(AND(Y67&gt;$Q$79,Y67&lt;=$R$79),$S$79,0))))))))</f>
        <v>0</v>
      </c>
      <c r="Z68" t="str">
        <f>IF(AND(X62="～15",Y67&lt;=580000),"16未満",IF(AND(OR(X62="16～18",X62="23～64",X62="65～69"),Y67&lt;=580000),"その他扶養",IF(AND(X62="70～(同居)",Y67&lt;=580000),"同居老人",IF(AND(X62="70～(別居)",Y67&lt;=580000),"別居老人",IF(AND(X62="19～22",Y67&lt;=580000),"特定扶養",IF(AND(X62="19～22",Y67&gt;580000,Y67&lt;=1230000),"特定親族特別","扶養対象外"))))))</f>
        <v>扶養対象外</v>
      </c>
      <c r="AA68" s="85">
        <f>IF(OR(Z68="扶養対象外",Z68="16未満"),0,IF(Z68="その他扶養",330000,IF(Z68="同居老人",450000,IF(Z68="別居老人",380000,IF(Z68="特定扶養",450000,IF(Z68="特定親族特別",W68))))))</f>
        <v>0</v>
      </c>
    </row>
    <row r="69" spans="1:27" ht="14.25">
      <c r="A69" s="238" t="s">
        <v>193</v>
      </c>
      <c r="B69" s="241">
        <f>IF(B67-F49&lt;0,0,B67-F49)</f>
        <v>0</v>
      </c>
      <c r="H69" s="102"/>
      <c r="I69" s="96"/>
      <c r="J69" s="96"/>
      <c r="AA69" s="85"/>
    </row>
    <row r="70" spans="1:27" ht="14.25">
      <c r="H70" s="247"/>
      <c r="I70" s="96"/>
      <c r="J70" s="96"/>
      <c r="V70" t="s">
        <v>36</v>
      </c>
      <c r="W70" t="s">
        <v>186</v>
      </c>
      <c r="X70">
        <f>控除額!$F$36</f>
        <v>0</v>
      </c>
      <c r="Y70" s="85">
        <f>ROUNDDOWN(IF(W71&lt;=650999,0,IF(AND(W71&gt;=651000,W71&lt;=1899999),W71-650000,IF(AND(W71&gt;=1900000,W71&lt;=3599999),ROUNDDOWN(W71/4,-3)*2.8-80000,IF(AND(W71&gt;=3600000,W71&lt;=6599999),ROUNDDOWN(W71/4,-3)*3.2-440000,IF(AND(W71&gt;=6600000,W71&lt;=8499999),ROUNDDOWN(W71*0.9,0)-1100000,IF(W71&gt;=8500000,W71-1950000,0)))))),0)</f>
        <v>0</v>
      </c>
      <c r="AA70" s="85"/>
    </row>
    <row r="71" spans="1:27">
      <c r="H71" s="15"/>
      <c r="I71" s="96"/>
      <c r="J71" s="96"/>
      <c r="V71" t="s">
        <v>5</v>
      </c>
      <c r="W71" s="85">
        <f>控除額!$G$36</f>
        <v>0</v>
      </c>
      <c r="X71" t="s">
        <v>12</v>
      </c>
      <c r="Y71" s="85">
        <f>IF(Y73&gt;0,Y70-Y73,Y70)</f>
        <v>0</v>
      </c>
      <c r="AA71" s="85"/>
    </row>
    <row r="72" spans="1:27">
      <c r="H72" s="15"/>
      <c r="I72" s="96"/>
      <c r="J72" s="96"/>
      <c r="M72" t="s">
        <v>284</v>
      </c>
      <c r="Q72" t="s">
        <v>274</v>
      </c>
      <c r="V72" t="s">
        <v>112</v>
      </c>
      <c r="W72" s="85">
        <f>控除額!$H$36</f>
        <v>0</v>
      </c>
      <c r="X72" t="s">
        <v>125</v>
      </c>
      <c r="Y72" s="85">
        <f>MAX(IF(V73="〇",W72-W73,IF(V74="〇",W72-W74)),0)</f>
        <v>0</v>
      </c>
      <c r="AA72" s="85"/>
    </row>
    <row r="73" spans="1:27">
      <c r="H73" s="15"/>
      <c r="I73" s="96"/>
      <c r="J73" s="96"/>
      <c r="M73" s="143">
        <v>580000</v>
      </c>
      <c r="N73" s="162">
        <v>850000</v>
      </c>
      <c r="O73" s="145">
        <v>630000</v>
      </c>
      <c r="Q73" s="143">
        <v>580000</v>
      </c>
      <c r="R73" s="162">
        <v>950000</v>
      </c>
      <c r="S73" s="145">
        <v>450000</v>
      </c>
      <c r="U73" t="s">
        <v>128</v>
      </c>
      <c r="V73" s="85" t="str">
        <f>IF(OR(X70="65～69",X70="70～(同居)",X70="70～(別居)"),"〇","")</f>
        <v/>
      </c>
      <c r="W73" s="85">
        <f>IF(W72&lt;3300000,1100000,IF(AND(W72&gt;=3300000,W72&lt;4100000),W72*0.25+275000,IF(AND(W72&gt;=4100000,W72&lt;7700000),W72*0.15+685000,IF(AND(W72&gt;=7700000,W72&lt;10000000),W72*0.05+1455000,IF(W72&gt;=10000000,1955000,0)))))</f>
        <v>1100000</v>
      </c>
      <c r="X73" t="s">
        <v>285</v>
      </c>
      <c r="Y73" s="85">
        <f>MAX(IF(Y72&gt;=100000,100000,Y72)+IF(Y70&gt;=100000,100000,Y70)-100000,0)</f>
        <v>0</v>
      </c>
      <c r="AA73" s="85"/>
    </row>
    <row r="74" spans="1:27">
      <c r="H74" s="15"/>
      <c r="I74" s="96"/>
      <c r="J74" s="96"/>
      <c r="M74" s="143">
        <v>850000</v>
      </c>
      <c r="N74" s="162">
        <v>900000</v>
      </c>
      <c r="O74" s="145">
        <v>610000</v>
      </c>
      <c r="Q74" s="143">
        <v>950000</v>
      </c>
      <c r="R74" s="162">
        <v>1000000</v>
      </c>
      <c r="S74" s="145">
        <v>410000</v>
      </c>
      <c r="U74" t="s">
        <v>288</v>
      </c>
      <c r="V74" s="85" t="str">
        <f>IF(OR(X70="～15",X70="16～18",X70="19～22",X70="23～64"),"〇","")</f>
        <v/>
      </c>
      <c r="W74" s="85">
        <f>IF(W72&lt;1300000,600000,IF(AND(W72&gt;=1300000,W72&lt;4100000),W72*0.25+275000,IF(AND(W72&gt;=4100000,W72&lt;7700000),W72*0.15+685000,IF(AND(W72&gt;=7700000,W72&lt;10000000),W72*0.05+1455000,IF(W72&gt;=10000000,1955000)))))</f>
        <v>600000</v>
      </c>
      <c r="X74" s="226" t="s">
        <v>282</v>
      </c>
      <c r="Y74" s="231">
        <f>控除額!I57</f>
        <v>0</v>
      </c>
      <c r="AA74" s="85"/>
    </row>
    <row r="75" spans="1:27">
      <c r="H75" s="15"/>
      <c r="I75" s="96"/>
      <c r="J75" s="96"/>
      <c r="M75" s="143">
        <v>900000</v>
      </c>
      <c r="N75" s="162">
        <v>950000</v>
      </c>
      <c r="O75" s="145">
        <v>510000</v>
      </c>
      <c r="Q75" s="143">
        <v>1000000</v>
      </c>
      <c r="R75" s="162">
        <v>1050000</v>
      </c>
      <c r="S75" s="145">
        <v>310000</v>
      </c>
      <c r="U75" t="s">
        <v>289</v>
      </c>
      <c r="V75" t="s">
        <v>87</v>
      </c>
      <c r="W75">
        <f>IF(Z76&lt;&gt;"特定親族特別",0,IF(AND(Y75&gt;$M$73,Y75&lt;=$N$73),$O$73,IF(AND(Y75&gt;$M$74,Y75&lt;=$N$74),$O$74,IF(AND(Y75&gt;$M$75,Y75&lt;=$N$75),$O$75,IF(AND(Y75&gt;$M$76,Y75&lt;=$N$76),$O$76,IF(AND(Y75&gt;$M$77,Y75&lt;=$N$77),$O$77,IF(AND(Y75&gt;$M$78,Y75&lt;=$N$78),$O$78,IF(AND(Y75&gt;$M$79,Y75&lt;=$N$79),$O$79,IF(AND(Y75&gt;$M$80,Y75&lt;=$N$80),$O$80,IF(AND(Y75&gt;$M$81,Y75&lt;=$N$81),$O$81,0))))))))))</f>
        <v>0</v>
      </c>
      <c r="X75" t="s">
        <v>19</v>
      </c>
      <c r="Y75" s="85">
        <f>Y71+Y72+Y73+Y74</f>
        <v>0</v>
      </c>
      <c r="AA75" s="85"/>
    </row>
    <row r="76" spans="1:27">
      <c r="H76" s="15"/>
      <c r="I76" s="96"/>
      <c r="J76" s="96"/>
      <c r="M76" s="143">
        <v>950000</v>
      </c>
      <c r="N76" s="162">
        <v>1000000</v>
      </c>
      <c r="O76" s="145">
        <v>410000</v>
      </c>
      <c r="Q76" s="143">
        <v>1050000</v>
      </c>
      <c r="R76" s="162">
        <v>1100000</v>
      </c>
      <c r="S76" s="145">
        <v>210000</v>
      </c>
      <c r="V76" t="s">
        <v>290</v>
      </c>
      <c r="W76" s="60">
        <f>IF(Z76&lt;&gt;"特定親族特別",0,IF(AND(Y75&gt;$Q$73,Y75&lt;=$R$73),$S$73,IF(AND(Y75&gt;$Q$74,Y75&lt;=$R$74),$S$74,IF(AND(Y75&gt;$Q$75,Y75&lt;=$R$75),$S$75,IF(AND(Y75&gt;$Q$76,Y75&lt;=$R$76),$S$76,IF(AND(Y75&gt;$Q$77,Y75&lt;=$R$77),$S$77,IF(AND(Y75&gt;$Q$78,Y75&lt;=$R$78),$S$78,IF(AND(Y75&gt;$Q$79,Y75&lt;=$R$79),$S$79,0))))))))</f>
        <v>0</v>
      </c>
      <c r="Z76" t="str">
        <f>IF(AND(X70="～15",Y75&lt;=580000),"16未満",IF(AND(OR(X70="16～18",X70="23～64",X70="65～69"),Y75&lt;=580000),"その他扶養",IF(AND(X70="70～(同居)",Y75&lt;=580000),"同居老人",IF(AND(X70="70～(別居)",Y75&lt;=580000),"別居老人",IF(AND(X70="19～22",Y75&lt;=580000),"特定扶養",IF(AND(X70="19～22",Y75&gt;580000,Y75&lt;=1230000),"特定親族特別","扶養対象外"))))))</f>
        <v>扶養対象外</v>
      </c>
      <c r="AA76" s="85">
        <f>IF(OR(Z76="扶養対象外",Z76="16未満"),0,IF(Z76="その他扶養",330000,IF(Z76="同居老人",450000,IF(Z76="別居老人",380000,IF(Z76="特定扶養",450000,IF(Z76="特定親族特別",W76))))))</f>
        <v>0</v>
      </c>
    </row>
    <row r="77" spans="1:27">
      <c r="H77" s="15"/>
      <c r="I77" s="96"/>
      <c r="J77" s="96"/>
      <c r="M77" s="143">
        <v>1000000</v>
      </c>
      <c r="N77" s="162">
        <v>1050000</v>
      </c>
      <c r="O77" s="145">
        <v>310000</v>
      </c>
      <c r="Q77" s="143">
        <v>1100000</v>
      </c>
      <c r="R77" s="162">
        <v>1150000</v>
      </c>
      <c r="S77" s="145">
        <v>110000</v>
      </c>
      <c r="AA77" s="85"/>
    </row>
    <row r="78" spans="1:27">
      <c r="H78" s="96"/>
      <c r="I78" s="96"/>
      <c r="J78" s="96"/>
      <c r="M78" s="143">
        <v>1050000</v>
      </c>
      <c r="N78" s="162">
        <v>1100000</v>
      </c>
      <c r="O78" s="145">
        <v>210000</v>
      </c>
      <c r="Q78" s="143">
        <v>1150000</v>
      </c>
      <c r="R78" s="162">
        <v>1200000</v>
      </c>
      <c r="S78" s="145">
        <v>60000</v>
      </c>
      <c r="V78" t="s">
        <v>292</v>
      </c>
      <c r="W78" t="s">
        <v>186</v>
      </c>
      <c r="X78">
        <f>控除額!$F$37</f>
        <v>0</v>
      </c>
      <c r="Y78" s="85">
        <f>ROUNDDOWN(IF(W79&lt;=650999,0,IF(AND(W79&gt;=651000,W79&lt;=1899999),W79-650000,IF(AND(W79&gt;=1900000,W79&lt;=3599999),ROUNDDOWN(W79/4,-3)*2.8-80000,IF(AND(W79&gt;=3600000,W79&lt;=6599999),ROUNDDOWN(W79/4,-3)*3.2-440000,IF(AND(W79&gt;=6600000,W79&lt;=8499999),ROUNDDOWN(W79*0.9,0)-1100000,IF(W79&gt;=8500000,W79-1950000,0)))))),0)</f>
        <v>0</v>
      </c>
      <c r="AA78" s="85"/>
    </row>
    <row r="79" spans="1:27">
      <c r="M79" s="143">
        <v>1100000</v>
      </c>
      <c r="N79" s="162">
        <v>1150000</v>
      </c>
      <c r="O79" s="145">
        <v>110000</v>
      </c>
      <c r="Q79" s="143">
        <v>1200000</v>
      </c>
      <c r="R79" s="162">
        <v>1230000</v>
      </c>
      <c r="S79" s="145">
        <v>30000</v>
      </c>
      <c r="V79" t="s">
        <v>5</v>
      </c>
      <c r="W79" s="85">
        <f>控除額!$G$37</f>
        <v>0</v>
      </c>
      <c r="X79" t="s">
        <v>12</v>
      </c>
      <c r="Y79" s="85">
        <f>IF(Y81&gt;0,Y78-Y81,Y78)</f>
        <v>0</v>
      </c>
      <c r="AA79" s="85"/>
    </row>
    <row r="80" spans="1:27">
      <c r="M80" s="143">
        <v>1150000</v>
      </c>
      <c r="N80" s="162">
        <v>1200000</v>
      </c>
      <c r="O80" s="145">
        <v>60000</v>
      </c>
      <c r="V80" t="s">
        <v>112</v>
      </c>
      <c r="W80" s="85">
        <f>控除額!$H$37</f>
        <v>0</v>
      </c>
      <c r="X80" t="s">
        <v>125</v>
      </c>
      <c r="Y80" s="85">
        <f>MAX(IF(V81="〇",W80-W81,IF(V82="〇",W80-W82)),0)</f>
        <v>0</v>
      </c>
      <c r="AA80" s="85"/>
    </row>
    <row r="81" spans="13:27">
      <c r="M81" s="143">
        <v>1200000</v>
      </c>
      <c r="N81" s="162">
        <v>1230000</v>
      </c>
      <c r="O81" s="145">
        <v>30000</v>
      </c>
      <c r="U81" t="s">
        <v>128</v>
      </c>
      <c r="V81" s="85" t="str">
        <f>IF(OR(X78="65～69",X78="70～(同居)",X78="70～(別居)"),"〇","")</f>
        <v/>
      </c>
      <c r="W81" s="85">
        <f>IF(W80&lt;3300000,1100000,IF(AND(W80&gt;=3300000,W80&lt;4100000),W80*0.25+275000,IF(AND(W80&gt;=4100000,W80&lt;7700000),W80*0.15+685000,IF(AND(W80&gt;=7700000,W80&lt;10000000),W80*0.05+1455000,IF(W80&gt;=10000000,1955000,0)))))</f>
        <v>1100000</v>
      </c>
      <c r="X81" t="s">
        <v>285</v>
      </c>
      <c r="Y81" s="85">
        <f>MAX(IF(Y80&gt;=100000,100000,Y80)+IF(Y78&gt;=100000,100000,Y78)-100000,0)</f>
        <v>0</v>
      </c>
      <c r="AA81" s="85"/>
    </row>
    <row r="82" spans="13:27">
      <c r="U82" t="s">
        <v>288</v>
      </c>
      <c r="V82" s="85" t="str">
        <f>IF(OR(X78="～15",X78="16～18",X78="19～22",X78="23～64"),"〇","")</f>
        <v/>
      </c>
      <c r="W82" s="85">
        <f>IF(W80&lt;1300000,600000,IF(AND(W80&gt;=1300000,W80&lt;4100000),W80*0.25+275000,IF(AND(W80&gt;=4100000,W80&lt;7700000),W80*0.15+685000,IF(AND(W80&gt;=7700000,W80&lt;10000000),W80*0.05+1455000,IF(W80&gt;=10000000,1955000)))))</f>
        <v>600000</v>
      </c>
      <c r="X82" s="226" t="s">
        <v>282</v>
      </c>
      <c r="Y82" s="231">
        <f>控除額!I65</f>
        <v>0</v>
      </c>
      <c r="AA82" s="85"/>
    </row>
    <row r="83" spans="13:27">
      <c r="U83" t="s">
        <v>289</v>
      </c>
      <c r="V83" t="s">
        <v>87</v>
      </c>
      <c r="W83">
        <f>IF(Z84&lt;&gt;"特定親族特別",0,IF(AND(Y83&gt;$M$73,Y83&lt;=$N$73),$O$73,IF(AND(Y83&gt;$M$74,Y83&lt;=$N$74),$O$74,IF(AND(Y83&gt;$M$75,Y83&lt;=$N$75),$O$75,IF(AND(Y83&gt;$M$76,Y83&lt;=$N$76),$O$76,IF(AND(Y83&gt;$M$77,Y83&lt;=$N$77),$O$77,IF(AND(Y83&gt;$M$78,Y83&lt;=$N$78),$O$78,IF(AND(Y83&gt;$M$79,Y83&lt;=$N$79),$O$79,IF(AND(Y83&gt;$M$80,Y83&lt;=$N$80),$O$80,IF(AND(Y83&gt;$M$81,Y83&lt;=$N$81),$O$81,0))))))))))</f>
        <v>0</v>
      </c>
      <c r="X83" t="s">
        <v>19</v>
      </c>
      <c r="Y83" s="85">
        <f>Y79+Y80+Y81+Y82</f>
        <v>0</v>
      </c>
      <c r="AA83" s="85"/>
    </row>
    <row r="84" spans="13:27" ht="14.25">
      <c r="U84" s="221"/>
      <c r="V84" s="221" t="s">
        <v>290</v>
      </c>
      <c r="W84" s="221">
        <f>IF(Z84&lt;&gt;"特定親族特別",0,IF(AND(Y83&gt;$Q$73,Y83&lt;=$R$73),$S$73,IF(AND(Y83&gt;$Q$74,Y83&lt;=$R$74),$S$74,IF(AND(Y83&gt;$Q$75,Y83&lt;=$R$75),$S$75,IF(AND(Y83&gt;$Q$76,Y83&lt;=$R$76),$S$76,IF(AND(Y83&gt;$Q$77,Y83&lt;=$R$77),$S$77,IF(AND(Y83&gt;$Q$78,Y83&lt;=$R$78),$S$78,IF(AND(Y83&gt;$Q$79,Y83&lt;=$R$79),$S$79,0))))))))</f>
        <v>0</v>
      </c>
      <c r="X84" s="221"/>
      <c r="Y84" s="221"/>
      <c r="Z84" s="221" t="str">
        <f>IF(AND(X78="～15",Y83&lt;=580000),"16未満",IF(AND(OR(X78="16～18",X78="23～64",X78="65～69"),Y83&lt;=580000),"その他扶養",IF(AND(X78="70～(同居)",Y83&lt;=580000),"同居老人",IF(AND(X78="70～(別居)",Y83&lt;=580000),"別居老人",IF(AND(X78="19～22",Y83&lt;=580000),"特定扶養",IF(AND(X78="19～22",Y83&gt;580000,Y83&lt;=1230000),"特定親族特別","扶養対象外"))))))</f>
        <v>扶養対象外</v>
      </c>
      <c r="AA84" s="234">
        <f>IF(OR(Z84="扶養対象外",Z84="16未満"),0,IF(Z84="その他扶養",330000,IF(Z84="同居老人",450000,IF(Z84="別居老人",380000,IF(Z84="特定扶養",450000,IF(Z84="特定親族特別",W84))))))</f>
        <v>0</v>
      </c>
    </row>
    <row r="85" spans="13:27">
      <c r="Y85" t="s">
        <v>293</v>
      </c>
      <c r="Z85">
        <f>COUNTIF($Z$45:$Z$83,"16未満")</f>
        <v>0</v>
      </c>
      <c r="AA85" s="85">
        <f>SUMIF($Z$45:$Z$83,"16未満",$AA$45:$AA$83)</f>
        <v>0</v>
      </c>
    </row>
    <row r="86" spans="13:27">
      <c r="Y86" t="s">
        <v>294</v>
      </c>
      <c r="Z86">
        <f>COUNTIF($Z$45:$Z$83,"その他扶養")</f>
        <v>0</v>
      </c>
      <c r="AA86" s="85">
        <f>SUMIF($Z$45:$Z$83,"その他扶養",$AA$45:$AA$83)</f>
        <v>0</v>
      </c>
    </row>
    <row r="87" spans="13:27">
      <c r="Y87" t="s">
        <v>295</v>
      </c>
      <c r="Z87">
        <f>COUNTIF($Z$45:$Z$83,"同居老人")</f>
        <v>0</v>
      </c>
      <c r="AA87" s="85">
        <f>SUMIF($Z$45:$Z$83,"同居老人",$AA$45:$AA$83)</f>
        <v>0</v>
      </c>
    </row>
    <row r="88" spans="13:27">
      <c r="Y88" t="s">
        <v>296</v>
      </c>
      <c r="Z88">
        <f>COUNTIF($Z$45:$Z$83,"別居老人")</f>
        <v>0</v>
      </c>
      <c r="AA88" s="85">
        <f>SUMIF($Z$45:$Z$83,"別居老人",$AA$45:$AA$83)</f>
        <v>0</v>
      </c>
    </row>
    <row r="89" spans="13:27">
      <c r="Y89" t="s">
        <v>297</v>
      </c>
      <c r="Z89">
        <f>COUNTIF($Z$45:$Z$83,"特定扶養")</f>
        <v>0</v>
      </c>
      <c r="AA89" s="85">
        <f>SUMIF($Z$45:$Z$83,"特定扶養",$AA$45:$AA$83)</f>
        <v>0</v>
      </c>
    </row>
    <row r="90" spans="13:27">
      <c r="Y90" t="s">
        <v>148</v>
      </c>
      <c r="Z90" t="s">
        <v>87</v>
      </c>
      <c r="AA90" s="85">
        <f>W51+W59+W67+W75+W83</f>
        <v>0</v>
      </c>
    </row>
    <row r="91" spans="13:27">
      <c r="Z91" t="s">
        <v>290</v>
      </c>
      <c r="AA91" s="85">
        <f>W52+W60+W68+W76+W84</f>
        <v>0</v>
      </c>
    </row>
  </sheetData>
  <mergeCells count="14">
    <mergeCell ref="M13:M15"/>
    <mergeCell ref="U13:U15"/>
    <mergeCell ref="M16:M17"/>
    <mergeCell ref="U16:U18"/>
    <mergeCell ref="U19:U21"/>
    <mergeCell ref="U22:U24"/>
    <mergeCell ref="U25:U27"/>
    <mergeCell ref="M37:M40"/>
    <mergeCell ref="U37:U39"/>
    <mergeCell ref="U40:U41"/>
    <mergeCell ref="M41:M44"/>
    <mergeCell ref="M45:M48"/>
    <mergeCell ref="M49:M52"/>
    <mergeCell ref="M53:M56"/>
  </mergeCells>
  <phoneticPr fontId="1"/>
  <pageMargins left="0.7" right="0.7" top="0.75" bottom="0.75" header="0.3" footer="0.3"/>
  <pageSetup paperSize="9" scale="65" fitToWidth="0"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D90"/>
  <sheetViews>
    <sheetView topLeftCell="A19" workbookViewId="0">
      <selection activeCell="F50" sqref="F50"/>
    </sheetView>
  </sheetViews>
  <sheetFormatPr defaultRowHeight="13.5"/>
  <cols>
    <col min="1" max="1" width="26.25" customWidth="1"/>
    <col min="2" max="2" width="12.125" style="85" bestFit="1" customWidth="1"/>
    <col min="3" max="3" width="13.25" customWidth="1"/>
    <col min="4" max="4" width="20.625" style="86" customWidth="1"/>
    <col min="5" max="5" width="11.375" style="85" customWidth="1"/>
    <col min="6" max="6" width="16.875" customWidth="1"/>
    <col min="7" max="7" width="19.375" customWidth="1"/>
    <col min="8" max="8" width="20.375" style="85" customWidth="1"/>
    <col min="9" max="9" width="14.75" style="85" customWidth="1"/>
    <col min="10" max="10" width="13.75" style="85" customWidth="1"/>
    <col min="11" max="11" width="12.625" customWidth="1"/>
    <col min="12" max="12" width="13.5" customWidth="1"/>
    <col min="13" max="13" width="11.875" customWidth="1"/>
    <col min="14" max="14" width="12.625" customWidth="1"/>
    <col min="15" max="15" width="13.125" customWidth="1"/>
    <col min="16" max="16" width="10.5" customWidth="1"/>
    <col min="17" max="17" width="14" customWidth="1"/>
    <col min="18" max="18" width="12.5" customWidth="1"/>
    <col min="19" max="19" width="11.125" customWidth="1"/>
    <col min="22" max="22" width="12" customWidth="1"/>
    <col min="23" max="23" width="10" bestFit="1" customWidth="1"/>
    <col min="24" max="24" width="16.875" customWidth="1"/>
    <col min="25" max="25" width="11.875" customWidth="1"/>
    <col min="26" max="27" width="10" bestFit="1" customWidth="1"/>
    <col min="29" max="29" width="11.875" customWidth="1"/>
  </cols>
  <sheetData>
    <row r="1" spans="1:30">
      <c r="A1" t="s">
        <v>5</v>
      </c>
      <c r="B1" s="95">
        <f>控除額!C6</f>
        <v>0</v>
      </c>
      <c r="C1" s="85"/>
      <c r="D1" s="85"/>
      <c r="F1" s="85"/>
      <c r="G1" s="85"/>
    </row>
    <row r="2" spans="1:30">
      <c r="A2" t="s">
        <v>12</v>
      </c>
      <c r="B2" s="85">
        <f>E6</f>
        <v>0</v>
      </c>
      <c r="C2" s="85"/>
      <c r="D2" s="85">
        <f>ROUNDDOWN(IF(B1&lt;=650999,0,IF(AND(B1&gt;=651000,B1&lt;=1899999),B1-650000,IF(AND(B1&gt;=1900000,B1&lt;=3599999),ROUNDDOWN(B1/4,-3)*2.8-80000,IF(AND(B1&gt;=3600000,B1&lt;=6599999),ROUNDDOWN(B1/4,-3)*3.2-440000,IF(AND(B1&gt;=6600000,B1&lt;=8499999),ROUNDDOWN(B1*0.9,0)-1100000,IF(B1&gt;=8500000,B1-1950000,0)))))),0)</f>
        <v>0</v>
      </c>
      <c r="F2" s="85"/>
      <c r="G2" s="85"/>
      <c r="H2" s="85" t="s">
        <v>122</v>
      </c>
      <c r="J2" s="254"/>
    </row>
    <row r="3" spans="1:30">
      <c r="A3" t="s">
        <v>124</v>
      </c>
      <c r="B3" s="85">
        <f>控除額!C7</f>
        <v>0</v>
      </c>
      <c r="C3" s="85"/>
      <c r="D3" s="15" t="s">
        <v>128</v>
      </c>
      <c r="E3" s="85" t="str">
        <f>IF(控除額!D10="65歳以上","〇","")</f>
        <v/>
      </c>
      <c r="F3" s="85">
        <f>IF(B3&lt;3300000,1100000,IF(AND(B3&gt;=3300000,B3&lt;4100000),B3*0.25+275000,IF(AND(B3&gt;=4100000,B3&lt;7700000),B3*0.15+685000,IF(AND(B3&gt;=7700000,B3&lt;10000000),B3*0.05+1455000,IF(B3&gt;=10000000,1955000,0)))))</f>
        <v>1100000</v>
      </c>
      <c r="G3" s="85"/>
      <c r="H3" s="243"/>
      <c r="I3" s="248"/>
      <c r="J3" s="253"/>
    </row>
    <row r="4" spans="1:30">
      <c r="A4" t="s">
        <v>125</v>
      </c>
      <c r="B4" s="85">
        <f>MAX(IF(E3="〇",B3-F3,IF(E4="〇",B3-F4)),0)</f>
        <v>0</v>
      </c>
      <c r="C4" s="85"/>
      <c r="D4" s="15" t="s">
        <v>7</v>
      </c>
      <c r="E4" s="85" t="str">
        <f>IF(控除額!D10="64歳以下","〇","")</f>
        <v/>
      </c>
      <c r="F4" s="85">
        <f>IF(B3&lt;1300000,600000,IF(AND(B3&gt;=1300000,B3&lt;4100000),B3*0.25+275000,IF(AND(B3&gt;=4100000,B3&lt;7700000),B3*0.15+685000,IF(AND(B3&gt;=7700000,B3&lt;10000000),B3*0.05+1455000,IF(B3&gt;=10000000,1955000)))))</f>
        <v>600000</v>
      </c>
      <c r="G4" s="85"/>
      <c r="H4" s="244" t="s">
        <v>119</v>
      </c>
      <c r="I4" s="249">
        <f>控除額!M17</f>
        <v>0</v>
      </c>
      <c r="J4" s="255">
        <f>IF(I4=0,0,I4-2000)</f>
        <v>0</v>
      </c>
    </row>
    <row r="5" spans="1:30">
      <c r="A5" t="s">
        <v>230</v>
      </c>
      <c r="B5" s="85">
        <f>控除額!D8</f>
        <v>0</v>
      </c>
      <c r="C5" s="85"/>
      <c r="D5" s="15" t="s">
        <v>130</v>
      </c>
      <c r="E5" s="85">
        <f>MAX(IF(D2&gt;=100000,100000,D2)+IF(B4&gt;=100000,100000,B4)-100000,0)</f>
        <v>0</v>
      </c>
      <c r="F5" s="85">
        <f>IF(OR(B28&gt;0,B29&gt;0,B33+B32+B31&gt;0),(MIN(B1,10000000)-8500000)*0.1,0)</f>
        <v>0</v>
      </c>
      <c r="G5" s="85"/>
      <c r="H5" s="244"/>
      <c r="I5" s="250"/>
      <c r="J5" s="256"/>
      <c r="M5" t="s">
        <v>206</v>
      </c>
    </row>
    <row r="6" spans="1:30">
      <c r="A6" t="s">
        <v>69</v>
      </c>
      <c r="B6" s="85">
        <f>控除額!D9</f>
        <v>0</v>
      </c>
      <c r="C6" s="85"/>
      <c r="D6" s="15"/>
      <c r="E6" s="85">
        <f>IF(E5&gt;0,F6-E5,F6)</f>
        <v>0</v>
      </c>
      <c r="F6" s="85">
        <f>IF(F5&gt;0,D2-F5,D2)</f>
        <v>0</v>
      </c>
      <c r="G6" s="85"/>
      <c r="H6" s="244" t="s">
        <v>121</v>
      </c>
      <c r="I6" s="85">
        <f>IF(B50*0.2&gt;=J6,J6,IF(B50*0.2&lt;J6,B50*0.2,0))</f>
        <v>0</v>
      </c>
      <c r="J6" s="240">
        <f>ROUNDUP(IF(AND(E54&gt;=Q23,E54&lt;=R23),J4*84.895/100,IF(AND(E54&gt;=Q24,E54&lt;=R24),J4*79.79/100,IF(AND(E54&gt;=Q25,E54&lt;=R25),J4*69.58/100,IF(AND(E54&gt;=Q26,E54&lt;=R26),J4*66.517/100,IF(AND(E54&gt;=Q27,E54&lt;=R27),J4*56.307/100,IF(AND(E54&gt;=Q28,E54&lt;=R28),J4*49.16/100,IF(E54&gt;=Q29,J4*44.055/100,0))))))),0)</f>
        <v>0</v>
      </c>
      <c r="M6" s="112">
        <v>0</v>
      </c>
      <c r="N6" s="144">
        <v>1950000</v>
      </c>
      <c r="O6" s="163" t="s">
        <v>201</v>
      </c>
    </row>
    <row r="7" spans="1:30">
      <c r="A7" t="s">
        <v>46</v>
      </c>
      <c r="B7" s="85">
        <f>B6+B4+B2+B5</f>
        <v>0</v>
      </c>
      <c r="C7" s="85"/>
      <c r="D7" s="15"/>
      <c r="F7" s="85" t="s">
        <v>55</v>
      </c>
      <c r="G7" s="85" t="s">
        <v>89</v>
      </c>
      <c r="H7" s="244" t="s">
        <v>97</v>
      </c>
      <c r="I7" s="96">
        <f>ROUNDUP(IF(AND(E55&gt;=M24,E55&lt;=N24),J7*0.05*1.021,IF(AND(E55&gt;=M25,E55&lt;=N25),J7*0.1*1.021,IF(AND(E55&gt;=M26,E55&lt;=N26),J7*0.2*1.021,IF(AND(E55&gt;=M27,E55&lt;=N27),J7*0.23*1.021,IF(AND(E55&gt;=M28,E55&lt;=N28),J7*0.33*1.021,IF(AND(E55&gt;=M29,E55&lt;=N29),J7*0.4*1.021,IF(E55&gt;=M30,J7*0.45*1.021,0))))))),0)</f>
        <v>0</v>
      </c>
      <c r="J7" s="240">
        <f>IF(OR(B7=0,I4=0),0,MIN(I4,B7*0.4)-2000)</f>
        <v>0</v>
      </c>
      <c r="M7" s="113">
        <f>N6+1</f>
        <v>1950001</v>
      </c>
      <c r="N7" s="145">
        <v>3300000</v>
      </c>
      <c r="O7" s="164" t="s">
        <v>144</v>
      </c>
    </row>
    <row r="8" spans="1:30">
      <c r="A8" t="s">
        <v>4</v>
      </c>
      <c r="B8" s="85">
        <f>控除額!C16</f>
        <v>0</v>
      </c>
      <c r="C8" s="85"/>
      <c r="D8" s="15" t="s">
        <v>57</v>
      </c>
      <c r="E8" s="85">
        <f>IF(B7&gt;10000000,0,IF(OR(AND(B7&lt;=9000000,B14&lt;=480000,OR(B18="〇",B17="〇")),AND(B7&lt;=9000000,B14&gt;480000,B14&lt;=1000000)),330000,IF(OR(AND(B7&gt;9000000,B7&lt;=9500000,B14&lt;=480000,OR(B17="〇",B18="〇")),AND(B7&gt;9000000,B7&lt;=9500000,B14&gt;480000,B14&lt;=1000000)),220000,IF(OR(AND(B7&gt;9500000,B7&lt;=10000000,B14&lt;=480000,OR(B17="〇",B18="〇")),AND(B7&gt;9500000,B7&lt;=10000000,B14&gt;480000,B14&lt;=1000000)),110000,IF(AND(B7&lt;=9000000,B14&lt;=480000,B19="〇"),380000,IF(AND(B7&gt;9000000,B7&lt;=9500000,B14&lt;=480000,B19="〇"),260000,IF(AND(B7&gt;9500000,B7&lt;=10000000,B14&lt;=480000,B19="〇"),130000,IF(AND(B7&lt;=9000000,B14&gt;1000000,B14&lt;=1050000),310000,IF(AND(B7&gt;9000000,B7&lt;=9500000,B14&gt;1000000,B14&lt;=1050000),210000,IF(AND(B7&gt;9500000,B7&lt;=10000000,B14&gt;1000000,B14&lt;=1050000),110000,IF(AND(B7&lt;=9000000,B14&gt;1050000,B14&lt;=1100000),260000,IF(AND(B7&gt;9000000,B7&lt;=9500000,B14&gt;1050000,B14&lt;=1100000),180000,IF(AND(B7&gt;9500000,B7&lt;=10000000,B14&gt;1050000,B14&lt;=1100000),90000,IF(AND(B7&lt;=9000000,B14&gt;1100000,B14&lt;=1150000),210000,IF(AND(B7&gt;9000000,B7&lt;=9500000,B14&gt;1100000,B14&lt;=1150000),140000,IF(AND(B7&gt;9500000,B7&lt;=10000000,B14&gt;1100000,B14&lt;=1150000),70000,IF(AND(B7&lt;=9000000,B14&gt;1150000,B14&lt;=1200000),160000,IF(AND(B7&gt;9000000,B7&lt;=9500000,B14&gt;1150000,B14&lt;=1200000),110000,IF(AND(B7&gt;9500000,B7&lt;=10000000,B14&gt;1150000,B14&lt;=1200000),60000,IF(AND(B7&lt;=9000000,B14&gt;1200000,B14&lt;=1250000),110000,IF(AND(B7&gt;9000000,B7&lt;=9500000,B14&gt;1200000,B14&lt;=1250000),80000,IF(AND(B7&gt;9500000,B7&lt;=10000000,B14&gt;1200000,B14&lt;=1250000),40000,IF(AND(B7&lt;=9000000,B14&gt;1250000,B14&lt;=1300000),60000,IF(AND(B7&gt;9000000,B7&lt;=9500000,B14&gt;1250000,B14&lt;=1300000),40000,IF(AND(B7&gt;9500000,B7&lt;=10000000,B14&gt;1250000,B14&lt;=1300000),20000,IF(AND(B7&lt;=9000000,B14&gt;1300000,B14&lt;=1330000),30000,IF(AND(B7&gt;9000000,B7&lt;=9500000,B14&gt;130000,B14&lt;=1330000),20000,IF(AND(B7&gt;9500000,B7&lt;=10000000,B14&gt;1300000,B14&lt;=1330000),10000,0))))))))))))))))))))))))))))</f>
        <v>0</v>
      </c>
      <c r="F8" s="85">
        <f>IF(OR(AND(B7&lt;=9000000,B14&lt;=480000,OR(B17="〇",B18="〇")),AND(B7&lt;=9000000,B14&gt;480000,B14&lt;500000)),50000,IF(AND(B7&lt;=9000000,B14&lt;=480000,B19="〇"),100000,IF(AND(B7&lt;=9000000,B14&gt;=500000,B14&lt;550000),30000,IF(OR(AND(B7&gt;9000000,B7&lt;=9500000,B14&lt;=480000,OR(B17="〇",B18="〇")),AND(B7&gt;9000000,B7&lt;=9500000,B14&gt;480000,B14&lt;500000)),40000,IF(AND(B7&gt;9000000,B7&lt;=9500000,B14&lt;=480000,B19="〇"),60000,IF(AND(B7&gt;9000000,B7&lt;=9500000,B14&gt;=500000,B14&lt;550000),20000,IF(OR(AND(B7&gt;9500000,B7&lt;=10000000,B14&lt;=480000,OR(B17="〇",B18="〇")),AND(B7&gt;9500000,B7&lt;=10000000,B14&gt;480000,B14&lt;500000,B19="〇")),20000,IF(AND(B7&gt;9500000,B7&lt;=10000000,B14&gt;=500000,B14&lt;550000),10000,0))))))))</f>
        <v>0</v>
      </c>
      <c r="G8" s="85">
        <f>IF(B7&gt;10000000,0,IF(OR(AND(B7&lt;=9000000,B14&lt;=480000,OR(B18="〇",B17="〇")),AND(B7&lt;=9000000,B14&gt;480000,B14&lt;=950000)),380000,IF(OR(AND(B7&gt;9000000,B7&lt;=9500000,B14&lt;=480000,OR(B17="〇",B18="〇")),AND(B7&gt;9000000,B7&lt;=9500000,B14&gt;480000,B14&lt;=950000)),260000,IF(OR(AND(B7&gt;9500000,B7&lt;=10000000,B14&lt;=480000,OR(B17="〇",B18="〇")),AND(B7&gt;9500000,B7&lt;=10000000,B14&gt;480000,B14&lt;=950000)),130000,IF(AND(B7&lt;=9000000,B14&lt;=480000,B19="〇"),480000,IF(AND(B7&gt;9000000,B7&lt;=9500000,B14&lt;=480000,B19="〇"),320000,IF(AND(B7&gt;9500000,B7&lt;=10000000,B14&lt;=480000,B19="〇"),160000,IF(AND(B7&lt;=9000000,B14&gt;950000,B14&lt;=1000000),360000,IF(AND(B7&gt;9000000,B7&lt;=9500000,B14&gt;950000,B14&lt;=1000000),240000,IF(AND(B7&gt;9500000,B7&lt;=10000000,B14&gt;950000,B14&lt;=1000000),120000,IF(AND(B7&lt;=9000000,B14&gt;1000000,B14&lt;=1050000),310000,IF(AND(B7&gt;9000000,B7&lt;=9500000,B14&gt;1000000,B14&lt;=1050000),210000,IF(AND(B7&gt;9500000,B7&lt;=10000000,B14&gt;1000000,B14&lt;=1050000),110000,IF(AND(B7&lt;=9000000,B14&gt;1050000,B14&lt;=1100000),260000,IF(AND(B7&gt;9000000,B7&lt;=9500000,B14&gt;1050000,B14&lt;=1100000),180000,IF(AND(B7&gt;9500000,B7&lt;=10000000,B14&gt;1050000,B14&lt;=1100000),90000,IF(AND(B7&lt;=9000000,B14&gt;1100000,B14&lt;=1150000),210000,IF(AND(B7&gt;9000000,B7&lt;=9500000,B14&gt;1100000,B14&lt;=1150000),140000,IF(AND(B7&gt;9500000,B7&lt;=10000000,B14&gt;1100000,B14&lt;=1150000),70000,IF(AND(B7&lt;=9000000,B14&gt;1150000,B14&lt;=1200000),160000,IF(AND(B7&gt;9000000,B7&lt;=9500000,B14&gt;1150000,B14&lt;=1200000),110000,IF(AND(B7&gt;9500000,B7&lt;=10000000,B14&gt;1150000,B14&lt;=1200000),60000,IF(AND(B7&lt;=9000000,B14&gt;1200000,B14&lt;=1250000),110000,IF(AND(B7&gt;9000000,B7&lt;=9500000,B14&gt;1200000,B14&lt;=1250000),80000,IF(AND(B7&gt;9500000,B7&lt;=10000000,B14&gt;1200000,B14&lt;=1250000),40000,IF(AND(B7&lt;=9000000,B14&gt;1250000,B14&lt;=1300000),60000,IF(AND(B7&gt;9000000,B7&lt;=9500000,B14&gt;1250000,B14&lt;=1300000),40000,IF(AND(B7&gt;9500000,B7&lt;=10000000,B14&gt;1250000,B14&lt;=1300000),20000,IF(AND(B7&lt;=9000000,B14&gt;1300000,B14&lt;=1330000),30000,IF(AND(B7&gt;9000000,B7&lt;=9500000,B14&gt;130000,B14&lt;=1330000),20000,IF(AND(B7&gt;9500000,B7&lt;=10000000,B14&gt;1300000,B14&lt;=1330000),10000,0)))))))))))))))))))))))))))))))</f>
        <v>0</v>
      </c>
      <c r="H8" s="244" t="s">
        <v>126</v>
      </c>
      <c r="I8" s="96">
        <f>IF(J8*0.1&lt;0,0,J8*0.1)</f>
        <v>0</v>
      </c>
      <c r="J8" s="255">
        <f>MIN(B7*0.3,I4)-2000</f>
        <v>-2000</v>
      </c>
      <c r="M8" s="113">
        <f>N7+1</f>
        <v>3300001</v>
      </c>
      <c r="N8" s="145">
        <v>6950000</v>
      </c>
      <c r="O8" s="164" t="s">
        <v>202</v>
      </c>
    </row>
    <row r="9" spans="1:30">
      <c r="A9" t="s">
        <v>241</v>
      </c>
      <c r="B9" s="85">
        <f>IF(D9&gt;0,C9-D9,C9)</f>
        <v>0</v>
      </c>
      <c r="C9" s="85">
        <f>ROUNDDOWN(IF(B8&lt;=650999,0,IF(AND(B8&gt;=651000,B8&lt;=1899999),B8-650000,IF(AND(B8&gt;=1900000,B8&lt;=3599999),ROUNDDOWN(B8/4,-3)*2.8-80000,IF(AND(B8&gt;=3600000,B8&lt;=6599999),ROUNDDOWN(B8/4,-3)*3.2-440000,IF(AND(B8&gt;=6600000,B8&lt;=8499999),ROUNDDOWN(B8*0.9,0)-1100000,IF(B8&gt;=8500000,B8-1950000,0)))))),0)</f>
        <v>0</v>
      </c>
      <c r="D9" s="15">
        <f>MAX(IF(C9&gt;=100000,100000,C9)+IF(B11&gt;=100000,100000,B11)-100000,0)</f>
        <v>0</v>
      </c>
      <c r="F9" s="85"/>
      <c r="G9" s="85"/>
      <c r="H9" s="244" t="s">
        <v>120</v>
      </c>
      <c r="I9" s="251">
        <f>IF(SUM(I6:I8)&lt;0,0,SUM(I6:I8))</f>
        <v>0</v>
      </c>
      <c r="J9" s="257"/>
      <c r="K9" s="107"/>
      <c r="L9" s="107"/>
      <c r="M9" s="113">
        <f>N8+1</f>
        <v>6950001</v>
      </c>
      <c r="N9" s="146">
        <v>9000000</v>
      </c>
      <c r="O9" s="165" t="s">
        <v>204</v>
      </c>
      <c r="P9" s="107"/>
    </row>
    <row r="10" spans="1:30">
      <c r="A10" t="s">
        <v>242</v>
      </c>
      <c r="B10" s="85">
        <f>控除額!C17</f>
        <v>0</v>
      </c>
      <c r="C10" s="85"/>
      <c r="D10" s="15"/>
      <c r="F10" s="85"/>
      <c r="G10" s="85"/>
      <c r="H10" s="245"/>
      <c r="I10" s="252"/>
      <c r="J10" s="258"/>
      <c r="K10" s="107"/>
      <c r="L10" s="107"/>
      <c r="M10" s="114">
        <f>N9+1</f>
        <v>9000001</v>
      </c>
      <c r="N10" s="147" t="s">
        <v>35</v>
      </c>
      <c r="O10" s="166" t="s">
        <v>205</v>
      </c>
      <c r="P10" s="107"/>
    </row>
    <row r="11" spans="1:30">
      <c r="A11" t="s">
        <v>243</v>
      </c>
      <c r="B11" s="85">
        <f>MAX(IF(B17="〇",B10-C17,IF(OR(B18="〇",B19="〇"),B10-C18)),0)</f>
        <v>0</v>
      </c>
      <c r="C11" s="85"/>
      <c r="D11" s="15"/>
      <c r="F11" s="85"/>
      <c r="G11" s="85"/>
      <c r="J11" s="254"/>
      <c r="K11" s="107"/>
      <c r="L11" s="107"/>
      <c r="M11" s="107"/>
      <c r="N11" s="107"/>
      <c r="O11" s="107"/>
      <c r="P11" s="107"/>
    </row>
    <row r="12" spans="1:30">
      <c r="A12" t="s">
        <v>234</v>
      </c>
      <c r="B12" s="85">
        <f>控除額!D18</f>
        <v>0</v>
      </c>
      <c r="C12" s="85"/>
      <c r="D12" s="15"/>
      <c r="F12" s="85"/>
      <c r="G12" s="85"/>
      <c r="H12" s="85" t="s">
        <v>116</v>
      </c>
      <c r="J12" s="254"/>
      <c r="K12" s="107"/>
      <c r="L12" s="107"/>
      <c r="M12" s="115" t="s">
        <v>149</v>
      </c>
      <c r="N12" s="115"/>
      <c r="O12" s="115"/>
      <c r="P12" s="115"/>
      <c r="Q12" s="190"/>
      <c r="R12" s="115" t="s">
        <v>145</v>
      </c>
      <c r="S12" s="115"/>
      <c r="V12" s="115" t="s">
        <v>150</v>
      </c>
      <c r="W12" s="115"/>
      <c r="X12" s="115"/>
      <c r="Y12" s="115"/>
      <c r="Z12" s="190"/>
      <c r="AA12" s="115"/>
      <c r="AB12" s="115"/>
    </row>
    <row r="13" spans="1:30">
      <c r="A13" t="s">
        <v>123</v>
      </c>
      <c r="B13" s="85">
        <f>控除額!D19</f>
        <v>0</v>
      </c>
      <c r="C13" s="85"/>
      <c r="D13" s="15"/>
      <c r="F13" s="85"/>
      <c r="G13" s="85"/>
      <c r="H13" s="243"/>
      <c r="I13" s="64"/>
      <c r="J13" s="253"/>
      <c r="K13" s="107"/>
      <c r="L13" s="107"/>
      <c r="M13" s="116" t="s">
        <v>136</v>
      </c>
      <c r="N13" s="148">
        <v>0</v>
      </c>
      <c r="O13" s="167">
        <v>10000</v>
      </c>
      <c r="P13" s="182"/>
      <c r="Q13" s="191">
        <f>B46</f>
        <v>0</v>
      </c>
      <c r="R13" s="115">
        <f>IF(B46&lt;=O13,Q13,Q14)</f>
        <v>0</v>
      </c>
      <c r="S13" s="115">
        <f>IF(R13&lt;=15000,R13,15000)</f>
        <v>0</v>
      </c>
      <c r="V13" s="217" t="s">
        <v>24</v>
      </c>
      <c r="W13" s="148">
        <v>0</v>
      </c>
      <c r="X13" s="167">
        <v>25000</v>
      </c>
      <c r="Y13" s="182"/>
      <c r="Z13" s="227">
        <f>B41</f>
        <v>0</v>
      </c>
      <c r="AB13" s="115"/>
      <c r="AC13" t="s">
        <v>85</v>
      </c>
    </row>
    <row r="14" spans="1:30">
      <c r="A14" t="s">
        <v>244</v>
      </c>
      <c r="B14" s="85">
        <f>B9+B11+B12+B13</f>
        <v>0</v>
      </c>
      <c r="C14" s="85"/>
      <c r="D14" s="15"/>
      <c r="F14" s="85"/>
      <c r="G14" s="85"/>
      <c r="H14" s="244" t="s">
        <v>74</v>
      </c>
      <c r="I14" s="249">
        <f>IF(J14=0,0,J14+2000)</f>
        <v>0</v>
      </c>
      <c r="J14" s="259">
        <f>ROUNDUP(IF(AND(E54&gt;Q23,E54&lt;=R23),I16*100/84.895,IF(AND(E54&gt;Q24,E54&lt;=R24),I16*100/79.79,IF(AND(E54&gt;Q25,E54&lt;=R25),I16*100/69.58,IF(AND(E54&gt;Q26,E54&lt;=R26),I16*100/66.517,IF(AND(E54&gt;Q27,E54&lt;=R27),I16*100/56.307,IF(AND(E54&gt;Q28,E54&lt;=R28),I16*100/49.16,IF(E54&gt;Q29,I16*100/44.055,0))))))),1)</f>
        <v>0</v>
      </c>
      <c r="K14" s="108"/>
      <c r="L14" s="108"/>
      <c r="M14" s="117"/>
      <c r="N14" s="149">
        <f>+O13+1</f>
        <v>10001</v>
      </c>
      <c r="O14" s="168">
        <v>20000</v>
      </c>
      <c r="P14" s="183" t="s">
        <v>142</v>
      </c>
      <c r="Q14" s="192">
        <f>B46*0.5+5000</f>
        <v>5000</v>
      </c>
      <c r="V14" s="134"/>
      <c r="W14" s="149">
        <v>25001</v>
      </c>
      <c r="X14" s="169">
        <v>50000</v>
      </c>
      <c r="Y14" s="183" t="s">
        <v>151</v>
      </c>
      <c r="Z14" s="228">
        <f>ROUNDUP(B41*0.5+12500,0)</f>
        <v>12500</v>
      </c>
      <c r="AA14" s="115">
        <f>IF(AND(B41&lt;=X13),B41,IF(AND(W14&lt;=B41,B41&lt;=X14),Z14,IF(AND(W15&lt;=B41),Z15)))</f>
        <v>0</v>
      </c>
      <c r="AB14" s="115">
        <f>IF(AA14&lt;=50000,AA14,IF(50000&lt;=AA14,50000))</f>
        <v>0</v>
      </c>
      <c r="AC14">
        <f>MAX(AB14,AB20,AD14)</f>
        <v>0</v>
      </c>
      <c r="AD14">
        <f>IF(AB14+AB20&lt;=40000,AB14+AB20,40000)</f>
        <v>0</v>
      </c>
    </row>
    <row r="15" spans="1:30">
      <c r="A15" t="s">
        <v>15</v>
      </c>
      <c r="C15" s="85"/>
      <c r="H15" s="244"/>
      <c r="I15" s="96"/>
      <c r="J15" s="256"/>
      <c r="K15" s="109"/>
      <c r="L15" s="109"/>
      <c r="M15" s="118"/>
      <c r="N15" s="149">
        <f>+O14+1</f>
        <v>20001</v>
      </c>
      <c r="O15" s="1" t="s">
        <v>35</v>
      </c>
      <c r="P15" s="184"/>
      <c r="Q15" s="193">
        <v>15000</v>
      </c>
      <c r="R15" s="204"/>
      <c r="V15" s="135"/>
      <c r="W15" s="149">
        <v>50001</v>
      </c>
      <c r="X15" s="222" t="s">
        <v>35</v>
      </c>
      <c r="Y15" s="183" t="s">
        <v>152</v>
      </c>
      <c r="Z15" s="228">
        <f>ROUNDUP(B41*0.25+25000,0)</f>
        <v>25000</v>
      </c>
    </row>
    <row r="16" spans="1:30" ht="15" customHeight="1">
      <c r="A16" t="s">
        <v>31</v>
      </c>
      <c r="B16" s="85" t="str">
        <f>IF(控除額!C14="いない","〇","")</f>
        <v>〇</v>
      </c>
      <c r="C16" s="85"/>
      <c r="H16" s="244" t="s">
        <v>72</v>
      </c>
      <c r="I16" s="96">
        <f>B50*0.2</f>
        <v>0</v>
      </c>
      <c r="J16" s="256"/>
      <c r="K16" s="109"/>
      <c r="L16" s="109"/>
      <c r="M16" s="119" t="s">
        <v>140</v>
      </c>
      <c r="N16" s="149">
        <v>0</v>
      </c>
      <c r="O16" s="169">
        <v>50000</v>
      </c>
      <c r="P16" s="183"/>
      <c r="Q16" s="192">
        <f>B45</f>
        <v>0</v>
      </c>
      <c r="R16" t="s">
        <v>146</v>
      </c>
      <c r="V16" s="136" t="s">
        <v>38</v>
      </c>
      <c r="W16" s="149">
        <v>0</v>
      </c>
      <c r="X16" s="169">
        <v>25000</v>
      </c>
      <c r="Y16" s="183"/>
      <c r="Z16" s="228">
        <f>B43</f>
        <v>0</v>
      </c>
      <c r="AC16" t="s">
        <v>62</v>
      </c>
    </row>
    <row r="17" spans="1:30">
      <c r="A17" t="s">
        <v>245</v>
      </c>
      <c r="B17" s="85" t="str">
        <f>IF(控除額!C14="いる（64歳以下）","〇","")</f>
        <v/>
      </c>
      <c r="C17" s="85">
        <f>IF(B10&lt;1300000,600000,IF(AND(B10&gt;=1300000,B10&lt;4100000),B10*0.25+275000,IF(AND(B10&gt;=4100000,B10&lt;7700000),B10*0.15+685000,IF(AND(B10&gt;=7700000,B10&lt;10000000),B10*0.05+1455000,IF(B10&gt;=10000000,1955000)))))</f>
        <v>600000</v>
      </c>
      <c r="H17" s="244" t="s">
        <v>97</v>
      </c>
      <c r="I17" s="96">
        <f>ROUNDUP(IF(AND(E55&gt;=M24,E55&lt;=N24),J17*0.05*1.021,IF(AND(E55&gt;=M25,E55&lt;=N25),J17*0.1*1.021,IF(AND(E55&gt;=M26,E55&lt;=N26),J17*0.2*1.021,IF(AND(E55&gt;=M27,E55&lt;=N27),J17*0.23*1.021,IF(AND(E55&gt;=M28,E55&lt;=N28),J17*0.33*1.021,IF(AND(E55&gt;=M29,E55&lt;=N29),J17*0.4*1.021,IF(E55&gt;=M30,J17*0.45*1.021,0))))))),0)</f>
        <v>0</v>
      </c>
      <c r="J17" s="240">
        <f>IF(B7=0,0,MIN(I14,B7*0.4)-2000)</f>
        <v>0</v>
      </c>
      <c r="K17" s="110"/>
      <c r="L17" s="111"/>
      <c r="M17" s="120"/>
      <c r="N17" s="150">
        <f>+O16+1</f>
        <v>50001</v>
      </c>
      <c r="O17" s="161" t="s">
        <v>35</v>
      </c>
      <c r="P17" s="185"/>
      <c r="Q17" s="194">
        <v>50000</v>
      </c>
      <c r="R17" s="115">
        <f>IF(B45&lt;=O16,Q16,Q17)</f>
        <v>0</v>
      </c>
      <c r="S17" s="115">
        <f>IF(R17&lt;=50000,R17,50000)</f>
        <v>0</v>
      </c>
      <c r="V17" s="137"/>
      <c r="W17" s="149">
        <v>25001</v>
      </c>
      <c r="X17" s="169">
        <v>50000</v>
      </c>
      <c r="Y17" s="183" t="s">
        <v>151</v>
      </c>
      <c r="Z17" s="228">
        <f>ROUNDUP(B43*0.5+12500,0)</f>
        <v>12500</v>
      </c>
      <c r="AA17" s="115">
        <f>IF(AND(B43&lt;=X16),B43,IF(AND(W17&lt;=B43,B43&lt;=X17),Z17,IF(AND(W18&lt;=B43),Z18)))</f>
        <v>0</v>
      </c>
      <c r="AB17" s="115">
        <f>IF(AA17&lt;=50000,AA17,IF(50000&lt;=AA17,50000))</f>
        <v>0</v>
      </c>
      <c r="AC17">
        <f>MAX(AB17,AB23,AD17)</f>
        <v>0</v>
      </c>
      <c r="AD17">
        <f>IF(AB17+AB23&lt;=40000,AB17+AB23,40000)</f>
        <v>0</v>
      </c>
    </row>
    <row r="18" spans="1:30" ht="13.5" customHeight="1">
      <c r="A18" t="s">
        <v>3</v>
      </c>
      <c r="B18" s="85" t="str">
        <f>IF(控除額!C14="いる（65歳以上69歳以下）","〇","")</f>
        <v/>
      </c>
      <c r="C18" s="85">
        <f>IF(B10&lt;3300000,1100000,IF(AND(B10&gt;=3300000,B10&lt;4100000),B10*0.25+275000,IF(AND(B10&gt;=4100000,B10&lt;7700000),B10*0.15+685000,IF(AND(B10&gt;=7700000,B10&lt;10000000),B10*0.05+1455000,IF(B10&gt;=10000000,1955000,0)))))</f>
        <v>1100000</v>
      </c>
      <c r="H18" s="244" t="s">
        <v>126</v>
      </c>
      <c r="I18" s="96">
        <f>IF(J18*0.1&lt;0,0,J18*0.1)</f>
        <v>0</v>
      </c>
      <c r="J18" s="240">
        <f>MIN(B7*0.3,I14)-2000</f>
        <v>-2000</v>
      </c>
      <c r="K18" s="110"/>
      <c r="L18" s="110"/>
      <c r="M18" s="121"/>
      <c r="N18" s="151"/>
      <c r="O18" s="170"/>
      <c r="P18" s="170"/>
      <c r="R18" s="115"/>
      <c r="S18" s="210">
        <f>IF(S13+S17&lt;=50000,S13+S17,IF(50000&lt;S13+S17,50000))</f>
        <v>0</v>
      </c>
      <c r="V18" s="138"/>
      <c r="W18" s="149">
        <v>50001</v>
      </c>
      <c r="X18" s="222" t="s">
        <v>35</v>
      </c>
      <c r="Y18" s="183" t="s">
        <v>152</v>
      </c>
      <c r="Z18" s="228">
        <f>ROUNDUP(B43*0.25+25000,0)</f>
        <v>25000</v>
      </c>
      <c r="AA18" s="115"/>
    </row>
    <row r="19" spans="1:30" ht="15">
      <c r="A19" t="s">
        <v>58</v>
      </c>
      <c r="B19" s="85" t="str">
        <f>IF(控除額!C14="いる（70歳以上）","〇","")</f>
        <v/>
      </c>
      <c r="C19" s="85"/>
      <c r="H19" s="246" t="s">
        <v>68</v>
      </c>
      <c r="I19" s="251">
        <f>IF(SUM(I16:I18)&lt;0,0,SUM(I16:I18))</f>
        <v>0</v>
      </c>
      <c r="J19" s="257"/>
      <c r="K19" s="260"/>
      <c r="L19" s="110"/>
      <c r="M19" s="121"/>
      <c r="N19" s="151"/>
      <c r="O19" s="170"/>
      <c r="P19" s="170"/>
      <c r="V19" s="134" t="s">
        <v>75</v>
      </c>
      <c r="W19" s="158">
        <v>0</v>
      </c>
      <c r="X19" s="223">
        <v>20000</v>
      </c>
      <c r="Y19" s="225"/>
      <c r="Z19" s="229">
        <f>B40</f>
        <v>0</v>
      </c>
      <c r="AA19" s="115"/>
      <c r="AB19" s="115"/>
    </row>
    <row r="20" spans="1:30" ht="15">
      <c r="A20" t="s">
        <v>13</v>
      </c>
      <c r="C20" s="85"/>
      <c r="D20" s="15" t="s">
        <v>59</v>
      </c>
      <c r="E20" s="85">
        <f>IF(AND(B7&lt;=5000000,B22="〇"),260000,IF(B21="〇",0,0))</f>
        <v>0</v>
      </c>
      <c r="F20" s="85">
        <f>IF(B22="〇",10000,0)</f>
        <v>0</v>
      </c>
      <c r="G20" s="85">
        <f>E20+F20</f>
        <v>0</v>
      </c>
      <c r="H20" s="245"/>
      <c r="I20" s="252"/>
      <c r="J20" s="258"/>
      <c r="K20" s="110"/>
      <c r="L20" s="111"/>
      <c r="M20" s="121"/>
      <c r="N20" s="151"/>
      <c r="O20" s="170"/>
      <c r="P20" s="170"/>
      <c r="V20" s="134"/>
      <c r="W20" s="149">
        <v>20001</v>
      </c>
      <c r="X20" s="169">
        <v>40000</v>
      </c>
      <c r="Y20" s="183" t="s">
        <v>153</v>
      </c>
      <c r="Z20" s="228">
        <f>ROUNDUP(B40*0.5+10000,0)</f>
        <v>10000</v>
      </c>
      <c r="AA20" s="115">
        <f>IF(AND(B40&lt;=X19),B40,IF(AND(W20&lt;=B40,B40&lt;=X20),Z20,IF(AND(W21&lt;=B40),Z21)))</f>
        <v>0</v>
      </c>
      <c r="AB20" s="115">
        <f>IF(AA20&lt;=40000,AA20,IF(40000&lt;=AA20,40000))</f>
        <v>0</v>
      </c>
    </row>
    <row r="21" spans="1:30" ht="14.25">
      <c r="A21" t="s">
        <v>39</v>
      </c>
      <c r="B21" s="85" t="str">
        <f>IF(控除額!C22="該当しない","〇","")</f>
        <v>〇</v>
      </c>
      <c r="C21" s="85"/>
      <c r="D21" s="15" t="s">
        <v>65</v>
      </c>
      <c r="E21" s="85">
        <f>IF(AND(B7&lt;=5000000,B23="〇"),300000,IF(AND(B7&lt;=5000000,B24="〇"),300000,IF(B21="〇",0,0)))</f>
        <v>0</v>
      </c>
      <c r="F21" s="85">
        <f>IF(B23="〇",10000,IF(B24="〇",50000,0))</f>
        <v>0</v>
      </c>
      <c r="G21" s="85">
        <f>E21+F21</f>
        <v>0</v>
      </c>
      <c r="K21" s="110"/>
      <c r="L21" s="110"/>
      <c r="M21" s="121"/>
      <c r="N21" s="151"/>
      <c r="O21" s="170"/>
      <c r="P21" s="170"/>
      <c r="V21" s="135"/>
      <c r="W21" s="149">
        <v>40001</v>
      </c>
      <c r="X21" s="222" t="s">
        <v>35</v>
      </c>
      <c r="Y21" s="183" t="s">
        <v>154</v>
      </c>
      <c r="Z21" s="228">
        <f>ROUNDUP(B40*0.25+20000,0)</f>
        <v>20000</v>
      </c>
    </row>
    <row r="22" spans="1:30" ht="15" customHeight="1">
      <c r="A22" t="s">
        <v>34</v>
      </c>
      <c r="B22" s="85" t="str">
        <f>IF(控除額!C22="寡婦","〇","")</f>
        <v/>
      </c>
      <c r="C22" s="85"/>
      <c r="D22" s="15"/>
      <c r="F22" s="85"/>
      <c r="G22" s="85"/>
      <c r="M22" s="85" t="s">
        <v>92</v>
      </c>
      <c r="N22" s="110" t="s">
        <v>53</v>
      </c>
      <c r="O22" s="110"/>
      <c r="Q22" s="121" t="s">
        <v>95</v>
      </c>
      <c r="R22" s="151"/>
      <c r="S22" s="170"/>
      <c r="V22" s="136" t="s">
        <v>77</v>
      </c>
      <c r="W22" s="149">
        <v>0</v>
      </c>
      <c r="X22" s="169">
        <v>20000</v>
      </c>
      <c r="Y22" s="183"/>
      <c r="Z22" s="228">
        <f>B42</f>
        <v>0</v>
      </c>
    </row>
    <row r="23" spans="1:30" ht="14.25">
      <c r="A23" t="s">
        <v>52</v>
      </c>
      <c r="B23" s="85" t="str">
        <f>IF(控除額!C22="ひとり親（男性）","〇","")</f>
        <v/>
      </c>
      <c r="C23" s="85"/>
      <c r="D23" s="15" t="s">
        <v>60</v>
      </c>
      <c r="E23" s="85">
        <f>IF(B26&gt;=1,260000*B26,IF(B28&gt;=1,300000*B28,IF(B27&gt;=1,300000*B27,IF(B29&gt;=1,530000*B29,IF(AND(B26="",B28="",B29="",B27=""),0,0)))))</f>
        <v>0</v>
      </c>
      <c r="F23" s="85">
        <f>SUM(B26*10000,B27*100000,B28*100000,B29*220000)</f>
        <v>0</v>
      </c>
      <c r="G23" s="85">
        <f>E23+F23</f>
        <v>0</v>
      </c>
      <c r="H23" s="85" t="s">
        <v>122</v>
      </c>
      <c r="J23" s="254"/>
      <c r="M23" s="122"/>
      <c r="N23" s="152">
        <v>0</v>
      </c>
      <c r="O23" s="171">
        <v>0</v>
      </c>
      <c r="Q23" s="195">
        <v>0</v>
      </c>
      <c r="R23" s="205">
        <v>1950000</v>
      </c>
      <c r="S23" s="211" t="s">
        <v>98</v>
      </c>
      <c r="V23" s="137"/>
      <c r="W23" s="149">
        <v>20001</v>
      </c>
      <c r="X23" s="169">
        <v>40000</v>
      </c>
      <c r="Y23" s="183" t="s">
        <v>153</v>
      </c>
      <c r="Z23" s="228">
        <f>ROUNDUP(B42*0.5+10000,0)</f>
        <v>10000</v>
      </c>
      <c r="AA23" s="115">
        <f>IF(AND(B42&lt;=X22),B42,IF(AND(W23&lt;=B42,B42&lt;=X23),Z23,IF(AND(W24&lt;=B42),Z24)))</f>
        <v>0</v>
      </c>
      <c r="AB23" s="115">
        <f>IF(AA23&lt;=40000,AA23,IF(40000&lt;=AA23,40000))</f>
        <v>0</v>
      </c>
    </row>
    <row r="24" spans="1:30" ht="13.5" customHeight="1">
      <c r="A24" t="s">
        <v>27</v>
      </c>
      <c r="B24" s="85" t="str">
        <f>IF(控除額!C22="ひとり親（女性）","〇","")</f>
        <v/>
      </c>
      <c r="D24" s="15"/>
      <c r="F24" s="85"/>
      <c r="G24" s="85"/>
      <c r="H24" s="262"/>
      <c r="I24" s="266"/>
      <c r="J24" s="269"/>
      <c r="M24" s="123">
        <v>1000</v>
      </c>
      <c r="N24" s="153">
        <v>1949000</v>
      </c>
      <c r="O24" s="172" t="s">
        <v>63</v>
      </c>
      <c r="Q24" s="196">
        <v>1950001</v>
      </c>
      <c r="R24" s="206">
        <v>3300000</v>
      </c>
      <c r="S24" s="212" t="s">
        <v>99</v>
      </c>
      <c r="V24" s="138"/>
      <c r="W24" s="149">
        <v>40001</v>
      </c>
      <c r="X24" s="222" t="s">
        <v>35</v>
      </c>
      <c r="Y24" s="183" t="s">
        <v>154</v>
      </c>
      <c r="Z24" s="228">
        <f>ROUNDUP(B42*0.25+20000,0)</f>
        <v>20000</v>
      </c>
      <c r="AA24" s="115"/>
      <c r="AB24" s="115"/>
    </row>
    <row r="25" spans="1:30" ht="14.25" customHeight="1">
      <c r="A25" t="s">
        <v>0</v>
      </c>
      <c r="D25" s="15"/>
      <c r="F25" s="85"/>
      <c r="G25" s="85"/>
      <c r="H25" s="263" t="s">
        <v>119</v>
      </c>
      <c r="I25" s="249">
        <f>控除額!M17</f>
        <v>0</v>
      </c>
      <c r="J25" s="270">
        <f>IF(I25=0,0,I25-2000)</f>
        <v>0</v>
      </c>
      <c r="M25" s="124">
        <v>1950000</v>
      </c>
      <c r="N25" s="154">
        <v>3299000</v>
      </c>
      <c r="O25" s="173" t="s">
        <v>109</v>
      </c>
      <c r="Q25" s="197">
        <v>3300001</v>
      </c>
      <c r="R25" s="207">
        <v>6950000</v>
      </c>
      <c r="S25" s="213" t="s">
        <v>100</v>
      </c>
      <c r="V25" s="137" t="s">
        <v>78</v>
      </c>
      <c r="W25" s="158">
        <v>0</v>
      </c>
      <c r="X25" s="223">
        <v>20000</v>
      </c>
      <c r="Y25" s="225"/>
      <c r="Z25" s="229">
        <f>B44</f>
        <v>0</v>
      </c>
      <c r="AB25" s="115"/>
      <c r="AC25" t="s">
        <v>76</v>
      </c>
    </row>
    <row r="26" spans="1:30" ht="14.25">
      <c r="A26" t="s">
        <v>20</v>
      </c>
      <c r="B26" s="85">
        <f>控除額!C26+控除額!C25</f>
        <v>0</v>
      </c>
      <c r="C26" t="s">
        <v>269</v>
      </c>
      <c r="D26" s="15"/>
      <c r="F26" s="85"/>
      <c r="G26" s="85"/>
      <c r="H26" s="263"/>
      <c r="I26" s="250"/>
      <c r="J26" s="271"/>
      <c r="M26" s="124">
        <v>3300000</v>
      </c>
      <c r="N26" s="153">
        <v>6949000</v>
      </c>
      <c r="O26" s="174" t="s">
        <v>110</v>
      </c>
      <c r="Q26" s="196">
        <v>6950001</v>
      </c>
      <c r="R26" s="206">
        <v>9000000</v>
      </c>
      <c r="S26" s="212" t="s">
        <v>103</v>
      </c>
      <c r="V26" s="137"/>
      <c r="W26" s="149">
        <v>20001</v>
      </c>
      <c r="X26" s="169">
        <v>40000</v>
      </c>
      <c r="Y26" s="183" t="s">
        <v>153</v>
      </c>
      <c r="Z26" s="228">
        <f>ROUNDUP(B44*0.5+10000,0)</f>
        <v>10000</v>
      </c>
      <c r="AA26" s="115">
        <f>IF(AND(B44&lt;=X25),B44,IF(AND(W26&lt;=B44,B44&lt;=X26),Z26,IF(AND(W27&lt;=B44),Z27)))</f>
        <v>0</v>
      </c>
      <c r="AB26" s="115">
        <f>IF(AA26&lt;=40000,AA26,IF(40000&lt;=AA26,40000))</f>
        <v>0</v>
      </c>
      <c r="AC26">
        <f>AB26</f>
        <v>0</v>
      </c>
    </row>
    <row r="27" spans="1:30" ht="13.5" customHeight="1">
      <c r="A27" t="s">
        <v>248</v>
      </c>
      <c r="B27" s="85">
        <f>控除額!C27</f>
        <v>0</v>
      </c>
      <c r="C27" t="str">
        <f>IF(OR(控除額!C25=1,B27=1),"〇","")</f>
        <v/>
      </c>
      <c r="H27" s="263" t="s">
        <v>121</v>
      </c>
      <c r="I27" s="96">
        <f>IF(B50*0.2&gt;=J27,J27,IF(B50*0.2&lt;J27,B50*0.2,0))</f>
        <v>0</v>
      </c>
      <c r="J27" s="272">
        <f>ROUNDUP(IF(AND(E54&gt;=Q23,E54&lt;=R23),J25*84.895/100,IF(AND(E54&gt;=Q24,E54&lt;=R24),J25*79.79/100,IF(AND(E54&gt;=Q25,E54&lt;=R25),J25*69.58/100,IF(AND(E54&gt;=Q26,E54&lt;=R26),J25*66.517/100,IF(AND(E54&gt;=Q27,E54&lt;=R27),J25*56.307/100,IF(AND(E54&gt;=Q28,E54&lt;=R28),J25*49.16/100,IF(E54&gt;=Q29,J25*44.055/100,0))))))),0)</f>
        <v>0</v>
      </c>
      <c r="M27" s="125">
        <v>6950000</v>
      </c>
      <c r="N27" s="154">
        <v>8999000</v>
      </c>
      <c r="O27" s="173" t="s">
        <v>111</v>
      </c>
      <c r="Q27" s="196">
        <v>9000001</v>
      </c>
      <c r="R27" s="206">
        <v>18000000</v>
      </c>
      <c r="S27" s="212" t="s">
        <v>104</v>
      </c>
      <c r="V27" s="139"/>
      <c r="W27" s="150">
        <v>40001</v>
      </c>
      <c r="X27" s="161" t="s">
        <v>35</v>
      </c>
      <c r="Y27" s="185" t="s">
        <v>154</v>
      </c>
      <c r="Z27" s="230">
        <f>ROUNDUP(B44*0.25+20000,0)</f>
        <v>20000</v>
      </c>
      <c r="AA27" s="115"/>
      <c r="AB27" s="115"/>
    </row>
    <row r="28" spans="1:30">
      <c r="A28" t="s">
        <v>249</v>
      </c>
      <c r="B28" s="85">
        <f>控除額!C28</f>
        <v>0</v>
      </c>
      <c r="H28" s="263" t="s">
        <v>207</v>
      </c>
      <c r="I28" s="96">
        <f>ROUNDUP(IF(E54&lt;=N6,I27*5.105/84.895,IF(AND(E54&gt;=M7,E54&lt;=N7),I27*10.21/79.79,IF(AND(E54&gt;=M8,E54&lt;=N8),I27*20.42/69.58,IF(AND(E54&gt;=M9,E54&lt;=N9),I27*23.483/66.517,IF(E54&gt;=M10,I27*33.693/56.307,0))))),0)</f>
        <v>0</v>
      </c>
      <c r="J28" s="272"/>
      <c r="M28" s="125">
        <v>9000000</v>
      </c>
      <c r="N28" s="154">
        <v>17999000</v>
      </c>
      <c r="O28" s="173" t="s">
        <v>113</v>
      </c>
      <c r="Q28" s="198">
        <v>18000001</v>
      </c>
      <c r="R28" s="208">
        <v>40000000</v>
      </c>
      <c r="S28" s="214" t="s">
        <v>105</v>
      </c>
      <c r="AC28" t="s">
        <v>155</v>
      </c>
    </row>
    <row r="29" spans="1:30" ht="14.25">
      <c r="A29" t="s">
        <v>1</v>
      </c>
      <c r="B29" s="85">
        <f>控除額!C29</f>
        <v>0</v>
      </c>
      <c r="H29" s="263" t="s">
        <v>126</v>
      </c>
      <c r="I29" s="96">
        <f>IF(J29*0.1&lt;0,0,J29*0.1)</f>
        <v>0</v>
      </c>
      <c r="J29" s="270">
        <f>MIN(B7*0.3,I25)-2000</f>
        <v>-2000</v>
      </c>
      <c r="K29" s="85"/>
      <c r="M29" s="124">
        <v>18000000</v>
      </c>
      <c r="N29" s="153">
        <v>39999000</v>
      </c>
      <c r="O29" s="174" t="s">
        <v>114</v>
      </c>
      <c r="Q29" s="199">
        <v>40000001</v>
      </c>
      <c r="R29" s="209" t="s">
        <v>35</v>
      </c>
      <c r="S29" s="215" t="s">
        <v>107</v>
      </c>
      <c r="AC29">
        <f>IF(AC14+AC17+AC26&lt;=120000,AC14+AC17+AC26,120000)</f>
        <v>0</v>
      </c>
    </row>
    <row r="30" spans="1:30" ht="15">
      <c r="A30" t="s">
        <v>16</v>
      </c>
      <c r="C30" s="85"/>
      <c r="D30" s="15"/>
      <c r="E30" s="85">
        <f>IF(SUM(B31:B35)=0,0,SUM(C32:C35))</f>
        <v>0</v>
      </c>
      <c r="F30" s="85">
        <f>SUM(B32*50000,B33*130000,B34*100000,B35*180000)</f>
        <v>0</v>
      </c>
      <c r="G30" s="85">
        <f>E30+F30</f>
        <v>0</v>
      </c>
      <c r="H30" s="263" t="s">
        <v>120</v>
      </c>
      <c r="I30" s="251">
        <f>IF(SUM(I27:I29)&lt;0,0,SUM(I27:I29))</f>
        <v>0</v>
      </c>
      <c r="J30" s="273"/>
      <c r="M30" s="126">
        <v>40000000</v>
      </c>
      <c r="N30" s="155"/>
      <c r="O30" s="175" t="s">
        <v>115</v>
      </c>
      <c r="P30" s="156"/>
      <c r="Q30" s="157"/>
      <c r="R30" s="157"/>
      <c r="S30" s="157"/>
    </row>
    <row r="31" spans="1:30" ht="15">
      <c r="A31" t="s">
        <v>170</v>
      </c>
      <c r="B31" s="85">
        <f>Z84</f>
        <v>0</v>
      </c>
      <c r="C31" s="85"/>
      <c r="D31" s="86" t="s">
        <v>200</v>
      </c>
      <c r="E31" s="85">
        <f>IF(AND(OR(B17="〇",B18="〇",B19="〇"),C9&lt;=380000),1,0)</f>
        <v>0</v>
      </c>
      <c r="F31" s="85"/>
      <c r="H31" s="264"/>
      <c r="I31" s="267"/>
      <c r="J31" s="274"/>
      <c r="M31" s="85"/>
      <c r="N31" s="156"/>
      <c r="O31" s="156"/>
      <c r="P31" s="156"/>
      <c r="Q31" s="157"/>
      <c r="R31" s="157"/>
      <c r="S31" s="157"/>
    </row>
    <row r="32" spans="1:30">
      <c r="A32" t="s">
        <v>278</v>
      </c>
      <c r="B32" s="85">
        <f t="shared" ref="B32:C35" si="0">Z85</f>
        <v>0</v>
      </c>
      <c r="C32" s="85">
        <f t="shared" si="0"/>
        <v>0</v>
      </c>
      <c r="D32" s="15" t="s">
        <v>49</v>
      </c>
      <c r="E32" s="85">
        <f>SUM(B31:B35)</f>
        <v>0</v>
      </c>
      <c r="F32" s="85"/>
      <c r="G32" s="85"/>
      <c r="J32" s="254"/>
      <c r="M32" s="85"/>
      <c r="N32" s="157"/>
      <c r="O32" s="157"/>
      <c r="P32" s="157"/>
      <c r="Q32" s="157"/>
      <c r="R32" s="157"/>
      <c r="S32" s="157"/>
    </row>
    <row r="33" spans="1:28" ht="14.25">
      <c r="A33" t="s">
        <v>279</v>
      </c>
      <c r="B33" s="85">
        <f t="shared" si="0"/>
        <v>0</v>
      </c>
      <c r="C33" s="85">
        <f t="shared" si="0"/>
        <v>0</v>
      </c>
      <c r="D33" s="15" t="s">
        <v>71</v>
      </c>
      <c r="E33" s="85">
        <f>E32+E31+1</f>
        <v>1</v>
      </c>
      <c r="F33" s="85"/>
      <c r="G33" s="85"/>
      <c r="H33" s="85" t="s">
        <v>116</v>
      </c>
      <c r="J33" s="254"/>
      <c r="M33" s="85"/>
      <c r="N33" s="107"/>
      <c r="O33" s="107"/>
      <c r="P33" s="107"/>
      <c r="Q33" s="107"/>
      <c r="R33" s="107"/>
      <c r="S33" s="107"/>
    </row>
    <row r="34" spans="1:28" ht="14.25">
      <c r="A34" t="s">
        <v>44</v>
      </c>
      <c r="B34" s="85">
        <f t="shared" si="0"/>
        <v>0</v>
      </c>
      <c r="C34" s="85">
        <f t="shared" si="0"/>
        <v>0</v>
      </c>
      <c r="D34" s="15" t="s">
        <v>268</v>
      </c>
      <c r="E34" s="85" t="str">
        <f>IF(AND(OR(B22="〇",B23="〇",B24="〇",C27="〇"),B7&lt;=1350000),1,"")</f>
        <v/>
      </c>
      <c r="F34" s="85"/>
      <c r="G34" s="85"/>
      <c r="H34" s="262"/>
      <c r="I34" s="268"/>
      <c r="J34" s="269"/>
      <c r="M34" s="85"/>
    </row>
    <row r="35" spans="1:28" ht="15">
      <c r="A35" t="s">
        <v>280</v>
      </c>
      <c r="B35" s="85">
        <f t="shared" si="0"/>
        <v>0</v>
      </c>
      <c r="C35" s="85">
        <f t="shared" si="0"/>
        <v>0</v>
      </c>
      <c r="D35" s="15"/>
      <c r="E35" s="85">
        <f>AA90</f>
        <v>0</v>
      </c>
      <c r="F35" s="85"/>
      <c r="G35" s="85">
        <f>AA89</f>
        <v>0</v>
      </c>
      <c r="H35" s="263" t="s">
        <v>74</v>
      </c>
      <c r="I35" s="249">
        <f>IF(J35=0,0,J35+2000)</f>
        <v>0</v>
      </c>
      <c r="J35" s="275">
        <f>ROUNDUP(IF(AND(E54&gt;Q23,E54&lt;=R23),I37*100/84.895,IF(AND(E54&gt;Q24,E54&lt;=R24),I37*100/79.79,IF(AND(E54&gt;Q25,E54&lt;=R25),I37*100/69.58,IF(AND(E54&gt;Q26,E54&lt;=R26),I37*100/66.517,IF(AND(E54&gt;Q27,E54&lt;=R27),I37*100/56.307,IF(AND(E54&gt;Q28,E54&lt;=R28),I37*100/49.16,IF(E54&gt;Q29,I37*100/44.055,0))))))),1)</f>
        <v>0</v>
      </c>
      <c r="M35" s="85"/>
    </row>
    <row r="36" spans="1:28" ht="15">
      <c r="A36" t="s">
        <v>194</v>
      </c>
      <c r="B36" s="85">
        <f>E35</f>
        <v>0</v>
      </c>
      <c r="C36" s="85"/>
      <c r="D36" s="15"/>
      <c r="F36" s="85"/>
      <c r="G36" s="85"/>
      <c r="H36" s="263"/>
      <c r="I36" s="96"/>
      <c r="J36" s="271"/>
      <c r="M36" s="115" t="s">
        <v>147</v>
      </c>
      <c r="N36" s="115"/>
      <c r="O36" s="115"/>
      <c r="P36" s="115"/>
      <c r="Q36" s="190"/>
      <c r="R36" s="115" t="s">
        <v>18</v>
      </c>
      <c r="T36" s="216"/>
      <c r="U36" s="216"/>
      <c r="V36" s="115" t="s">
        <v>135</v>
      </c>
      <c r="W36" s="115"/>
      <c r="X36" s="115"/>
      <c r="Y36" s="115"/>
      <c r="Z36" s="190"/>
      <c r="AA36" s="115" t="s">
        <v>145</v>
      </c>
      <c r="AB36" s="115"/>
    </row>
    <row r="37" spans="1:28" ht="13.5" customHeight="1">
      <c r="A37" t="s">
        <v>33</v>
      </c>
      <c r="B37" s="85" t="str">
        <f>IF(控除額!C40="該当する","〇","")</f>
        <v/>
      </c>
      <c r="C37" s="85"/>
      <c r="D37" s="15" t="s">
        <v>42</v>
      </c>
      <c r="E37" s="85">
        <f>IF(B37="〇",260000,0)</f>
        <v>0</v>
      </c>
      <c r="F37" s="85">
        <f>IF(B37="〇",10000,0)</f>
        <v>0</v>
      </c>
      <c r="G37" s="85">
        <f>E37+F37</f>
        <v>0</v>
      </c>
      <c r="H37" s="263" t="s">
        <v>72</v>
      </c>
      <c r="I37" s="96">
        <f>B50*0.2</f>
        <v>0</v>
      </c>
      <c r="J37" s="271"/>
      <c r="M37" s="127" t="s">
        <v>24</v>
      </c>
      <c r="N37" s="148">
        <v>0</v>
      </c>
      <c r="O37" s="167">
        <v>15000</v>
      </c>
      <c r="P37" s="186"/>
      <c r="Q37" s="200">
        <f>B41</f>
        <v>0</v>
      </c>
      <c r="R37" s="115"/>
      <c r="S37" t="s">
        <v>85</v>
      </c>
      <c r="V37" s="218" t="s">
        <v>136</v>
      </c>
      <c r="W37" s="148">
        <v>0</v>
      </c>
      <c r="X37" s="224">
        <v>5000</v>
      </c>
      <c r="Y37" s="182"/>
      <c r="Z37" s="191">
        <f>J62</f>
        <v>0</v>
      </c>
      <c r="AA37" s="115">
        <f>IF(B46&lt;=X37,Z37,IF(AND(B46&gt;=W38,B46&lt;X38),Z38,IF(B46&gt;=W39,Z39,0)))</f>
        <v>0</v>
      </c>
      <c r="AB37" s="115"/>
    </row>
    <row r="38" spans="1:28">
      <c r="A38" t="s">
        <v>10</v>
      </c>
      <c r="B38" s="85">
        <f>控除額!C43</f>
        <v>0</v>
      </c>
      <c r="C38" s="85"/>
      <c r="D38" s="15" t="s">
        <v>61</v>
      </c>
      <c r="E38" s="85">
        <f>B38+B39</f>
        <v>0</v>
      </c>
      <c r="F38" s="85"/>
      <c r="G38" s="85">
        <f>E38</f>
        <v>0</v>
      </c>
      <c r="H38" s="263" t="s">
        <v>207</v>
      </c>
      <c r="I38" s="96">
        <f>ROUNDUP(IF(E54&lt;=N6,I37*5.105/84.895,IF(AND(E54&gt;=M7,E54&lt;=N7),I37*10.21/79.79,IF(AND(E54&gt;=M8,E54&lt;=N8),I37*20.42/69.58,IF(AND(E54&gt;=M9,E54&lt;=N9),I37*23.483/66.517,IF(E54&gt;=M10,I37*33.693/56.307,0))))),0)</f>
        <v>0</v>
      </c>
      <c r="J38" s="272"/>
      <c r="M38" s="128"/>
      <c r="N38" s="149">
        <v>15001</v>
      </c>
      <c r="O38" s="169">
        <v>40000</v>
      </c>
      <c r="P38" s="187" t="s">
        <v>81</v>
      </c>
      <c r="Q38" s="201">
        <f>B41*0.5+7500</f>
        <v>7500</v>
      </c>
      <c r="R38" s="115"/>
      <c r="V38" s="219"/>
      <c r="W38" s="149">
        <f>+X37+1</f>
        <v>5001</v>
      </c>
      <c r="X38" s="169">
        <v>15000</v>
      </c>
      <c r="Y38" s="183" t="s">
        <v>156</v>
      </c>
      <c r="Z38" s="192">
        <f>B46*0.5+2500</f>
        <v>2500</v>
      </c>
    </row>
    <row r="39" spans="1:28" ht="14.25">
      <c r="A39" t="s">
        <v>17</v>
      </c>
      <c r="B39" s="85">
        <f>控除額!C44</f>
        <v>0</v>
      </c>
      <c r="C39" s="85"/>
      <c r="D39" s="15"/>
      <c r="F39" s="85"/>
      <c r="G39" s="85"/>
      <c r="H39" s="263" t="s">
        <v>126</v>
      </c>
      <c r="I39" s="96">
        <f>IF(J39*0.1&lt;0,0,J39*0.1)</f>
        <v>0</v>
      </c>
      <c r="J39" s="272">
        <f>MIN(B7*0.3,I35)-2000</f>
        <v>-2000</v>
      </c>
      <c r="M39" s="128"/>
      <c r="N39" s="149">
        <v>40001</v>
      </c>
      <c r="O39" s="169">
        <v>70000</v>
      </c>
      <c r="P39" s="187" t="s">
        <v>82</v>
      </c>
      <c r="Q39" s="201">
        <f>B41*0.25+17500</f>
        <v>17500</v>
      </c>
      <c r="R39" s="115">
        <f>ROUNDUP(IF(B41&lt;=O37,Q37,IF(AND(B41&gt;=N38,B41&lt;=O38),Q38,IF(AND(B41&gt;=N39,B41&lt;=O39),Q39,IF(B41&gt;=N40,Q40)))),0)</f>
        <v>0</v>
      </c>
      <c r="S39">
        <f>MAX(R39,R47,T39)</f>
        <v>0</v>
      </c>
      <c r="T39">
        <f>IF(R39+R47&lt;=28000,R39+R47,28000)</f>
        <v>0</v>
      </c>
      <c r="V39" s="220"/>
      <c r="W39" s="149">
        <f>+X38+1</f>
        <v>15001</v>
      </c>
      <c r="X39" s="222" t="s">
        <v>35</v>
      </c>
      <c r="Y39" s="183">
        <v>10000</v>
      </c>
      <c r="Z39" s="192">
        <v>10000</v>
      </c>
      <c r="AA39" t="s">
        <v>146</v>
      </c>
    </row>
    <row r="40" spans="1:28" ht="15">
      <c r="A40" t="s">
        <v>80</v>
      </c>
      <c r="B40" s="85">
        <f>控除額!C45</f>
        <v>0</v>
      </c>
      <c r="C40" s="85"/>
      <c r="D40" s="15" t="s">
        <v>8</v>
      </c>
      <c r="E40" s="85">
        <f>S59</f>
        <v>0</v>
      </c>
      <c r="F40" s="85">
        <f>AC29-E40</f>
        <v>0</v>
      </c>
      <c r="G40" s="85">
        <f>AC29</f>
        <v>0</v>
      </c>
      <c r="H40" s="265" t="s">
        <v>68</v>
      </c>
      <c r="I40" s="251">
        <f>IF(SUM(I37:I39)&lt;0,0,SUM(I37:I39))</f>
        <v>0</v>
      </c>
      <c r="J40" s="273"/>
      <c r="M40" s="129"/>
      <c r="N40" s="158">
        <v>70001</v>
      </c>
      <c r="O40" s="176" t="s">
        <v>35</v>
      </c>
      <c r="P40" s="187">
        <v>35000</v>
      </c>
      <c r="Q40" s="201">
        <v>35000</v>
      </c>
      <c r="R40" s="115"/>
      <c r="V40" s="119" t="s">
        <v>140</v>
      </c>
      <c r="W40" s="149">
        <v>0</v>
      </c>
      <c r="X40" s="169">
        <v>50000</v>
      </c>
      <c r="Y40" s="183" t="s">
        <v>143</v>
      </c>
      <c r="Z40" s="192">
        <f>ROUNDDOWN(B45*0.5,0)</f>
        <v>0</v>
      </c>
      <c r="AA40" s="115">
        <f>IF(B45&lt;=X40,Z40,Z41)</f>
        <v>0</v>
      </c>
      <c r="AB40" s="115"/>
    </row>
    <row r="41" spans="1:28" ht="15">
      <c r="A41" t="s">
        <v>43</v>
      </c>
      <c r="B41" s="85">
        <f>控除額!C46</f>
        <v>0</v>
      </c>
      <c r="C41" s="85"/>
      <c r="D41" s="15"/>
      <c r="F41" s="85"/>
      <c r="G41" s="85"/>
      <c r="H41" s="264"/>
      <c r="I41" s="267"/>
      <c r="J41" s="274"/>
      <c r="M41" s="130" t="s">
        <v>38</v>
      </c>
      <c r="N41" s="149">
        <v>0</v>
      </c>
      <c r="O41" s="177">
        <v>15000</v>
      </c>
      <c r="P41" s="187"/>
      <c r="Q41" s="201">
        <f>B43</f>
        <v>0</v>
      </c>
      <c r="R41" s="115"/>
      <c r="V41" s="120"/>
      <c r="W41" s="150">
        <f>+X40+1</f>
        <v>50001</v>
      </c>
      <c r="X41" s="161" t="s">
        <v>35</v>
      </c>
      <c r="Y41" s="185">
        <v>25000</v>
      </c>
      <c r="Z41" s="194">
        <v>25000</v>
      </c>
      <c r="AA41" s="232">
        <f>IF(AA37=0,AA40,AA37+AA40)</f>
        <v>0</v>
      </c>
      <c r="AB41" s="233"/>
    </row>
    <row r="42" spans="1:28">
      <c r="A42" t="s">
        <v>73</v>
      </c>
      <c r="B42" s="85">
        <f>控除額!C47</f>
        <v>0</v>
      </c>
      <c r="C42" s="85"/>
      <c r="D42" s="15"/>
      <c r="F42" s="85"/>
      <c r="G42" s="85"/>
      <c r="M42" s="131"/>
      <c r="N42" s="149">
        <v>15001</v>
      </c>
      <c r="O42" s="177">
        <v>40000</v>
      </c>
      <c r="P42" s="187" t="s">
        <v>81</v>
      </c>
      <c r="Q42" s="201">
        <f>B43*0.5+7500</f>
        <v>7500</v>
      </c>
      <c r="R42" s="115"/>
      <c r="S42" t="s">
        <v>62</v>
      </c>
      <c r="V42" s="121"/>
      <c r="W42" s="151"/>
      <c r="X42" s="170"/>
      <c r="Y42" s="170"/>
    </row>
    <row r="43" spans="1:28" ht="13.5" customHeight="1">
      <c r="A43" t="s">
        <v>41</v>
      </c>
      <c r="B43" s="85">
        <f>控除額!C48</f>
        <v>0</v>
      </c>
      <c r="C43" s="85"/>
      <c r="D43" s="15"/>
      <c r="F43" s="85"/>
      <c r="G43" s="85"/>
      <c r="M43" s="131"/>
      <c r="N43" s="149">
        <v>40001</v>
      </c>
      <c r="O43" s="177">
        <v>70000</v>
      </c>
      <c r="P43" s="187" t="s">
        <v>82</v>
      </c>
      <c r="Q43" s="201">
        <f>B43*0.25+17500</f>
        <v>17500</v>
      </c>
      <c r="R43" s="115">
        <f>ROUNDUP(IF(B43&lt;=O41,Q41,IF(AND(B43&gt;=N42,B43&lt;=O42),Q42,IF(AND(B43&gt;=N43,B43&lt;=O43),Q43,IF(B43&gt;=N44,Q44)))),0)</f>
        <v>0</v>
      </c>
      <c r="S43">
        <f>MAX(R43,R51,T43)</f>
        <v>0</v>
      </c>
      <c r="T43">
        <f>IF(R43+R51&lt;=28000,R43+R51,28000)</f>
        <v>0</v>
      </c>
      <c r="X43" t="s">
        <v>263</v>
      </c>
    </row>
    <row r="44" spans="1:28">
      <c r="A44" t="s">
        <v>32</v>
      </c>
      <c r="B44" s="85">
        <f>控除額!C49</f>
        <v>0</v>
      </c>
      <c r="C44" s="85"/>
      <c r="D44" s="15"/>
      <c r="F44" s="85"/>
      <c r="G44" s="85"/>
      <c r="M44" s="132"/>
      <c r="N44" s="149">
        <v>70001</v>
      </c>
      <c r="O44" s="178" t="s">
        <v>35</v>
      </c>
      <c r="P44" s="187">
        <v>35000</v>
      </c>
      <c r="Q44" s="201">
        <v>35000</v>
      </c>
      <c r="R44" s="115"/>
      <c r="U44" t="s">
        <v>283</v>
      </c>
      <c r="Z44" t="s">
        <v>286</v>
      </c>
      <c r="AA44" t="s">
        <v>287</v>
      </c>
      <c r="AB44" t="s">
        <v>298</v>
      </c>
    </row>
    <row r="45" spans="1:28">
      <c r="A45" t="s">
        <v>30</v>
      </c>
      <c r="B45" s="85">
        <f>控除額!C50</f>
        <v>0</v>
      </c>
      <c r="C45" s="85"/>
      <c r="D45" s="15" t="s">
        <v>22</v>
      </c>
      <c r="E45" s="85">
        <f>IF(AA41&lt;=25000,AA41,25000)</f>
        <v>0</v>
      </c>
      <c r="F45" s="85">
        <f>S18-E45</f>
        <v>0</v>
      </c>
      <c r="G45" s="85">
        <f>S18</f>
        <v>0</v>
      </c>
      <c r="H45" s="85" t="str">
        <f>IF(AND(控除額!C7&gt;0,控除額!D10=""),"年齢の入力が必要です","")</f>
        <v/>
      </c>
      <c r="M45" s="133" t="s">
        <v>75</v>
      </c>
      <c r="N45" s="149">
        <v>0</v>
      </c>
      <c r="O45" s="177">
        <v>12000</v>
      </c>
      <c r="P45" s="188"/>
      <c r="Q45" s="202">
        <f>B40</f>
        <v>0</v>
      </c>
      <c r="R45" s="115"/>
      <c r="V45" t="s">
        <v>40</v>
      </c>
      <c r="W45" t="s">
        <v>186</v>
      </c>
      <c r="X45">
        <f>控除額!$F$33</f>
        <v>0</v>
      </c>
      <c r="Y45" s="85">
        <f>ROUNDDOWN(IF(W46&lt;=650999,0,IF(AND(W46&gt;=651000,W46&lt;=1899999),W46-650000,IF(AND(W46&gt;=1900000,W46&lt;=3599999),ROUNDDOWN(W46/4,-3)*2.8-80000,IF(AND(W46&gt;=3600000,W46&lt;=6599999),ROUNDDOWN(W46/4,-3)*3.2-440000,IF(AND(W46&gt;=6600000,W46&lt;=8499999),ROUNDDOWN(W46*0.9,0)-1100000,IF(W46&gt;=8500000,W46-1950000,0)))))),0)</f>
        <v>0</v>
      </c>
      <c r="AA45" s="85"/>
    </row>
    <row r="46" spans="1:28">
      <c r="A46" t="s">
        <v>133</v>
      </c>
      <c r="B46" s="85">
        <f>控除額!C51</f>
        <v>0</v>
      </c>
      <c r="C46" s="85"/>
      <c r="D46" s="15" t="s">
        <v>23</v>
      </c>
      <c r="E46" s="85">
        <f>控除額!C52</f>
        <v>0</v>
      </c>
      <c r="F46" s="85"/>
      <c r="G46" s="85">
        <f>E46</f>
        <v>0</v>
      </c>
      <c r="H46" s="96" t="str">
        <f>IF(AND(OR(控除額!C14="いる（64歳以下）",控除額!C14="いる（65歳以上69歳以下）",控除額!C14="いる（70歳以上）"),控除額!C16="",控除額!C17="",控除額!D18="",控除額!D19=""),"配偶者の収入、所得を入力してください","")</f>
        <v/>
      </c>
      <c r="M46" s="134"/>
      <c r="N46" s="149">
        <v>12001</v>
      </c>
      <c r="O46" s="177">
        <v>32000</v>
      </c>
      <c r="P46" s="188" t="s">
        <v>83</v>
      </c>
      <c r="Q46" s="202">
        <f>B40*0.5+6000</f>
        <v>6000</v>
      </c>
      <c r="R46" s="115"/>
      <c r="V46" t="s">
        <v>5</v>
      </c>
      <c r="W46" s="85">
        <f>控除額!$G$33</f>
        <v>0</v>
      </c>
      <c r="X46" t="s">
        <v>12</v>
      </c>
      <c r="Y46" s="85">
        <f>IF(Y48&gt;0,Y45-Y48,Y45)</f>
        <v>0</v>
      </c>
      <c r="AA46" s="85"/>
    </row>
    <row r="47" spans="1:28">
      <c r="D47" s="15" t="s">
        <v>134</v>
      </c>
      <c r="E47" s="85">
        <f>IF(B7&lt;=24000000,430000,IF(AND(B7&gt;24000000,B7&lt;=24500000),290000,IF(AND(B7&gt;24500000,B7&lt;=25000000),150000,IF(B7&gt;25000000,0,0))))</f>
        <v>430000</v>
      </c>
      <c r="F47" s="85">
        <f>G47-E47</f>
        <v>520000</v>
      </c>
      <c r="G47" s="85">
        <f>IF(B1&lt;=N63,O63,IF(AND(B1&gt;=M64,B1&lt;=N64),O64,IF(AND(B1&gt;=M65,B1&lt;=N65),O65,IF(AND(B1&gt;=M66,B1&lt;=N66),O66,IF(AND(B1&gt;=M67,B1&lt;=N67),O67,IF(B1&gt;=M68,O68))))))</f>
        <v>950000</v>
      </c>
      <c r="H47" s="96" t="str">
        <f>IF(AND(控除額!C14&lt;&gt;"いない",控除額!C14&lt;&gt;"",OR(控除額!C22="寡婦",控除額!C22="ひとり親（女性）",控除額!C22="ひとり親（男性）")),"配偶者の有無が「いる」になっています","")</f>
        <v/>
      </c>
      <c r="M47" s="134"/>
      <c r="N47" s="149">
        <v>32001</v>
      </c>
      <c r="O47" s="177">
        <v>56000</v>
      </c>
      <c r="P47" s="187" t="s">
        <v>84</v>
      </c>
      <c r="Q47" s="201">
        <f>B40*0.25+14000</f>
        <v>14000</v>
      </c>
      <c r="R47" s="115">
        <f>ROUNDUP(IF(B40&lt;=O45,Q45,IF(AND(B40&gt;=N46,B40&lt;=O46),Q46,IF(AND(B40&gt;=N47,B40&lt;=O47),Q47,IF(B40&gt;=N48,Q48)))),0)</f>
        <v>0</v>
      </c>
      <c r="V47" t="s">
        <v>112</v>
      </c>
      <c r="W47" s="85">
        <f>控除額!$H$33</f>
        <v>0</v>
      </c>
      <c r="X47" t="s">
        <v>125</v>
      </c>
      <c r="Y47" s="85">
        <f>MAX(IF(V48="〇",W47-W48,IF(V49="〇",W47-W49)),0)</f>
        <v>0</v>
      </c>
      <c r="AA47" s="85"/>
    </row>
    <row r="48" spans="1:28">
      <c r="A48" t="s">
        <v>2</v>
      </c>
      <c r="B48" s="85">
        <f>ROUNDDOWN(IF(B7-E48&lt;0,0,B7-E48),-3)</f>
        <v>0</v>
      </c>
      <c r="C48" s="85"/>
      <c r="D48" s="15" t="s">
        <v>93</v>
      </c>
      <c r="E48" s="103">
        <f>E8+E20+E21+E23+E30+E35+E37+E38+E40+E45+E46+E47</f>
        <v>430000</v>
      </c>
      <c r="F48" s="103">
        <f>F8+F20+F21+F23+F30+F37+F47</f>
        <v>520000</v>
      </c>
      <c r="G48" s="104" t="s">
        <v>272</v>
      </c>
      <c r="H48" s="96" t="str">
        <f>IF(OR(AND(控除額!P23="〇",控除額!D6&gt;0,控除額!D7+控除額!D8+控除額!D9&gt;=200000),AND(控除額!P23="〇",控除額!D7&gt;0,控除額!D6+控除額!D9+控除額!D8&gt;=200000),AND(控除額!P23="〇",控除額!C6&gt;=20000000),AND(控除額!P23="〇",控除額!C7&gt;=4000000)),"注：ワンストップ特例制度対象外です。（確定申告が必要となります。）","")</f>
        <v/>
      </c>
      <c r="M48" s="135"/>
      <c r="N48" s="149">
        <v>56001</v>
      </c>
      <c r="O48" s="178" t="s">
        <v>35</v>
      </c>
      <c r="P48" s="187">
        <v>28000</v>
      </c>
      <c r="Q48" s="201">
        <v>28000</v>
      </c>
      <c r="R48" s="115"/>
      <c r="U48" t="s">
        <v>128</v>
      </c>
      <c r="V48" s="85" t="str">
        <f>IF(OR(X45="65～69",X45="70～(同居)",X45="70～(別居)"),"〇","")</f>
        <v/>
      </c>
      <c r="W48" s="85">
        <f>IF(W47&lt;3300000,1100000,IF(AND(W47&gt;=3300000,W47&lt;4100000),W47*0.25+275000,IF(AND(W47&gt;=4100000,W47&lt;7700000),W47*0.15+685000,IF(AND(W47&gt;=7700000,W47&lt;10000000),W47*0.05+1455000,IF(W47&gt;=10000000,1955000,0)))))</f>
        <v>1100000</v>
      </c>
      <c r="X48" t="s">
        <v>285</v>
      </c>
      <c r="Y48" s="85">
        <f>MAX(IF(Y47&gt;=100000,100000,Y47)+IF(Y45&gt;=100000,100000,Y45)-100000,0)</f>
        <v>0</v>
      </c>
      <c r="AA48" s="85"/>
    </row>
    <row r="49" spans="1:28">
      <c r="A49" t="s">
        <v>132</v>
      </c>
      <c r="B49" s="85">
        <f>IF(C49=0,0,IF(AND(B48&gt;2000000,F48-(B48-2000000)&lt;=50000),2500,C49))</f>
        <v>0</v>
      </c>
      <c r="C49" s="85">
        <f>IF(B7&gt;25000000,0,IF(B48&lt;=2000000,MIN(B48,F48)*0.05,IF(B48&gt;2000000,(F48-B48+2000000)*0.05)))</f>
        <v>0</v>
      </c>
      <c r="D49" s="15"/>
      <c r="E49" s="96"/>
      <c r="F49" s="96">
        <f>G8+G20+G21+G23+G30+G35+G37+G38+G40+G45+G46+G47</f>
        <v>950000</v>
      </c>
      <c r="G49" s="85" t="s">
        <v>131</v>
      </c>
      <c r="M49" s="136" t="s">
        <v>77</v>
      </c>
      <c r="N49" s="149">
        <v>0</v>
      </c>
      <c r="O49" s="177">
        <v>12000</v>
      </c>
      <c r="P49" s="187"/>
      <c r="Q49" s="201">
        <f>B42</f>
        <v>0</v>
      </c>
      <c r="R49" s="115"/>
      <c r="U49" t="s">
        <v>288</v>
      </c>
      <c r="V49" s="85" t="str">
        <f>IF(OR(X45="～15",X45="16～18",X45="19～22",X45="23～64"),"〇","")</f>
        <v/>
      </c>
      <c r="W49" s="85">
        <f>IF(W47&lt;1300000,600000,IF(AND(W47&gt;=1300000,W47&lt;4100000),W47*0.25+275000,IF(AND(W47&gt;=4100000,W47&lt;7700000),W47*0.15+685000,IF(AND(W47&gt;=7700000,W47&lt;10000000),W47*0.05+1455000,IF(W47&gt;=10000000,1955000)))))</f>
        <v>600000</v>
      </c>
      <c r="X49" s="226" t="s">
        <v>282</v>
      </c>
      <c r="Y49" s="231">
        <f>控除額!I33</f>
        <v>0</v>
      </c>
      <c r="AA49" s="85"/>
    </row>
    <row r="50" spans="1:28">
      <c r="A50" t="s">
        <v>223</v>
      </c>
      <c r="B50" s="85">
        <f>IF(E34=1,0,IF(AND(E31+E32=0,B7&lt;=450000),0,IF(AND(OR(E31&gt;=1,E32&gt;=1),B7&lt;=E33*350000+420000),0,B48*0.1-B49)))</f>
        <v>0</v>
      </c>
      <c r="M50" s="137"/>
      <c r="N50" s="149">
        <v>12001</v>
      </c>
      <c r="O50" s="177">
        <v>32000</v>
      </c>
      <c r="P50" s="187" t="s">
        <v>83</v>
      </c>
      <c r="Q50" s="201">
        <f>B42*0.5+6000</f>
        <v>6000</v>
      </c>
      <c r="R50" s="115"/>
      <c r="U50" t="s">
        <v>289</v>
      </c>
      <c r="V50" t="s">
        <v>87</v>
      </c>
      <c r="W50">
        <f>IF(Z51&lt;&gt;"特定親族特別",0,IF(AND(Y50&gt;$M$73,Y50&lt;=$N$73),$O$73,IF(AND(Y50&gt;$M$74,Y50&lt;=$N$74),$O$74,IF(AND(Y50&gt;$M$75,Y50&lt;=$N$75),$O$75,IF(AND(Y50&gt;$M$76,Y50&lt;=$N$76),$O$76,IF(AND(Y50&gt;$M$77,Y50&lt;=$N$77),$O$77,IF(AND(Y50&gt;$M$78,Y50&lt;=$N$78),$O$78,IF(AND(Y50&gt;$M$79,Y50&lt;=$N$79),$O$79,IF(AND(Y50&gt;$M$80,Y50&lt;=$N$80),$O$80,IF(AND(Y50&gt;$M$81,Y50&lt;=$N$81),$O$81,0))))))))))</f>
        <v>0</v>
      </c>
      <c r="X50" t="s">
        <v>19</v>
      </c>
      <c r="Y50" s="85">
        <f>Y46+Y47+Y48+Y49</f>
        <v>0</v>
      </c>
      <c r="AA50" s="85"/>
    </row>
    <row r="51" spans="1:28" ht="13.5" customHeight="1">
      <c r="A51" t="s">
        <v>224</v>
      </c>
      <c r="B51" s="85">
        <f>ROUNDUP(IF(F52-E56&lt;=0,0,MIN(C51,F52-E57)),0)</f>
        <v>0</v>
      </c>
      <c r="C51" s="85">
        <f>IF(OR(控除額!C57="平成26年3月以前",控除額!C57="令和4年1月以降(4年中に契約)"),MIN(E55*0.05,97500),IF(OR(控除額!C57="平成26年4月以降",控除額!C57="令和4年1月以降(契約は3年中)"),MIN(E55*0.07,136500),0))</f>
        <v>0</v>
      </c>
      <c r="D51" s="15" t="s">
        <v>231</v>
      </c>
      <c r="E51" s="85">
        <f>IF(B48&lt;=10000000,B5*0.028,IF(B48-B5&gt;10000000,B5*0.014,(10000000-(B48-B5))*0.028+(B5-(10000000-(B48-B5)))*0.014))</f>
        <v>0</v>
      </c>
      <c r="F51" s="85">
        <f>IF(E55&lt;=10000000,B5*0.1,IF(E55-B5&gt;10000000,B5*0.05,(10000000-(E55-B5))*0.1+(B5-(10000000-(E55-B5)))*0.05))</f>
        <v>0</v>
      </c>
      <c r="M51" s="137"/>
      <c r="N51" s="149">
        <v>32001</v>
      </c>
      <c r="O51" s="177">
        <v>56000</v>
      </c>
      <c r="P51" s="187" t="s">
        <v>84</v>
      </c>
      <c r="Q51" s="201">
        <f>B42*0.25+14000</f>
        <v>14000</v>
      </c>
      <c r="R51" s="115">
        <f>ROUNDUP(IF(B42&lt;=O49,Q49,IF(AND(B42&gt;=N50,B42&lt;=O50),Q50,IF(AND(B42&gt;=N51,B42&lt;=O51),Q51,IF(B42&gt;=N52,Q52)))),0)</f>
        <v>0</v>
      </c>
      <c r="V51" t="s">
        <v>290</v>
      </c>
      <c r="W51" s="60">
        <f>IF(Z51&lt;&gt;"特定親族特別",0,IF(AND(Y50&gt;$Q$73,Y50&lt;=$R$73),$S$73,IF(AND(Y50&gt;$Q$74,Y50&lt;=$R$74),$S$74,IF(AND(Y50&gt;$Q$75,Y50&lt;=$R$75),$S$75,IF(AND(Y50&gt;$Q$76,Y50&lt;=$R$76),$S$76,IF(AND(Y50&gt;$Q$77,Y50&lt;=$R$77),$S$77,IF(AND(Y50&gt;$Q$78,Y50&lt;=$R$78),$S$78,IF(AND(Y50&gt;$Q$79,Y50&lt;=$R$79),$S$79,0))))))))</f>
        <v>0</v>
      </c>
      <c r="Z51" t="str">
        <f>IF(AND(X45="～15",Y50&lt;=580000),"16未満",IF(AND(OR(X45="16～18",X45="23～64",X45="65～69"),Y50&lt;=580000),"その他扶養",IF(AND(X45="70～(同居)",Y50&lt;=580000),"同居老人",IF(AND(X45="70～(別居)",Y50&lt;=580000),"別居老人",IF(AND(X45="19～22",Y50&lt;=580000),"特定扶養",IF(AND(X45="19～22",Y50&gt;580000,Y50&lt;=1230000),"特定親族特別","扶養対象外"))))))</f>
        <v>扶養対象外</v>
      </c>
      <c r="AA51" s="85">
        <f>IF(OR(Z51="扶養対象外",Z51="16未満"),0,IF(Z51="その他扶養",330000,IF(Z51="同居老人",450000,IF(Z51="別居老人",380000,IF(Z51="特定扶養",450000,IF(Z51="特定親族特別",W51))))))</f>
        <v>0</v>
      </c>
      <c r="AB51" t="str">
        <f>IF(X45="","",IF(Z51="特定親族特別","特定親族特別控除の対象です",IF(Y50&gt;580000,"扶養控除の対象外です","")))</f>
        <v/>
      </c>
    </row>
    <row r="52" spans="1:28">
      <c r="A52" s="60" t="s">
        <v>233</v>
      </c>
      <c r="B52" s="96">
        <f>IF(B50=0,0,B50-B51-E51)</f>
        <v>0</v>
      </c>
      <c r="D52" s="15" t="s">
        <v>25</v>
      </c>
      <c r="F52" s="85">
        <f>控除額!C56</f>
        <v>0</v>
      </c>
      <c r="G52" s="85"/>
      <c r="M52" s="138"/>
      <c r="N52" s="149">
        <v>56000</v>
      </c>
      <c r="O52" s="178" t="s">
        <v>35</v>
      </c>
      <c r="P52" s="187">
        <v>28000</v>
      </c>
      <c r="Q52" s="201">
        <v>28000</v>
      </c>
      <c r="R52" s="115"/>
      <c r="AA52" s="85"/>
    </row>
    <row r="53" spans="1:28">
      <c r="A53" s="235" t="s">
        <v>225</v>
      </c>
      <c r="B53" s="235">
        <f>IF(E34=1,0,IF(AND(E32+E31=0,B7&lt;=380000),0,IF(AND(OR(E32&gt;=1,E31&gt;=1),B7&lt;=E33*280000+270000),0,5000)))</f>
        <v>0</v>
      </c>
      <c r="D53" s="15"/>
      <c r="F53" s="85"/>
      <c r="G53" s="85"/>
      <c r="M53" s="136" t="s">
        <v>78</v>
      </c>
      <c r="N53" s="149">
        <v>0</v>
      </c>
      <c r="O53" s="177">
        <v>12000</v>
      </c>
      <c r="P53" s="188"/>
      <c r="Q53" s="202">
        <f>B44</f>
        <v>0</v>
      </c>
      <c r="R53" s="115"/>
      <c r="V53" t="s">
        <v>291</v>
      </c>
      <c r="W53" t="s">
        <v>186</v>
      </c>
      <c r="X53">
        <f>控除額!$F$34</f>
        <v>0</v>
      </c>
      <c r="Y53" s="85">
        <f>ROUNDDOWN(IF(W54&lt;=650999,0,IF(AND(W54&gt;=651000,W54&lt;=1899999),W54-650000,IF(AND(W54&gt;=1900000,W54&lt;=3599999),ROUNDDOWN(W54/4,-3)*2.8-80000,IF(AND(W54&gt;=3600000,W54&lt;=6599999),ROUNDDOWN(W54/4,-3)*3.2-440000,IF(AND(W54&gt;=6600000,W54&lt;=8499999),ROUNDDOWN(W54*0.9,0)-1100000,IF(W54&gt;=8500000,W54-1950000,0)))))),0)</f>
        <v>0</v>
      </c>
      <c r="AA53" s="85"/>
    </row>
    <row r="54" spans="1:28">
      <c r="A54" s="96" t="s">
        <v>45</v>
      </c>
      <c r="B54" s="96">
        <f>B52+B53</f>
        <v>0</v>
      </c>
      <c r="D54" s="101" t="s">
        <v>48</v>
      </c>
      <c r="E54" s="85">
        <f>IF(B48=0,0,B48-F48)</f>
        <v>0</v>
      </c>
      <c r="F54" s="85"/>
      <c r="G54" s="85"/>
      <c r="M54" s="137"/>
      <c r="N54" s="149">
        <v>12001</v>
      </c>
      <c r="O54" s="177">
        <v>32001</v>
      </c>
      <c r="P54" s="188" t="s">
        <v>83</v>
      </c>
      <c r="Q54" s="202">
        <f>B44*0.5+6000</f>
        <v>6000</v>
      </c>
      <c r="R54" s="115"/>
      <c r="S54" t="s">
        <v>76</v>
      </c>
      <c r="V54" t="s">
        <v>5</v>
      </c>
      <c r="W54" s="85">
        <f>控除額!$G$34</f>
        <v>0</v>
      </c>
      <c r="X54" t="s">
        <v>12</v>
      </c>
      <c r="Y54" s="85">
        <f>IF(Y56&gt;0,Y53-Y56,Y53)</f>
        <v>0</v>
      </c>
      <c r="AA54" s="85"/>
    </row>
    <row r="55" spans="1:28" ht="13.5" customHeight="1">
      <c r="D55" s="15" t="s">
        <v>102</v>
      </c>
      <c r="E55" s="85">
        <f>ROUNDDOWN(IF(B7-F49&lt;0,0,B7-F49),-3)</f>
        <v>0</v>
      </c>
      <c r="F55" s="85"/>
      <c r="G55" s="85"/>
      <c r="M55" s="137"/>
      <c r="N55" s="149">
        <v>32000</v>
      </c>
      <c r="O55" s="177">
        <v>56000</v>
      </c>
      <c r="P55" s="187" t="s">
        <v>84</v>
      </c>
      <c r="Q55" s="201">
        <f>B44*0.25+14000</f>
        <v>14000</v>
      </c>
      <c r="R55" s="115">
        <f>ROUNDUP(IF(B44&lt;=O53,Q53,IF(AND(B44&gt;=N54,B44&lt;=O54),Q54,IF(AND(B44&gt;=N55,B44&lt;=O55),Q55,IF(B44&gt;=N56,Q56)))),0)</f>
        <v>0</v>
      </c>
      <c r="S55">
        <f>R55</f>
        <v>0</v>
      </c>
      <c r="V55" t="s">
        <v>112</v>
      </c>
      <c r="W55" s="85">
        <f>控除額!$H$34</f>
        <v>0</v>
      </c>
      <c r="X55" t="s">
        <v>125</v>
      </c>
      <c r="Y55" s="85">
        <f>MAX(IF(V56="〇",W55-W56,IF(V57="〇",W55-W57)),0)</f>
        <v>0</v>
      </c>
      <c r="AA55" s="85"/>
    </row>
    <row r="56" spans="1:28" ht="14.25">
      <c r="D56" s="102" t="s">
        <v>6</v>
      </c>
      <c r="E56" s="96">
        <f>IF(AND(E55&gt;=M24,E55&lt;=N24),E55*0.05,IF(AND(E55&gt;=M25,E55&lt;=N25),E55*0.1-97500,IF(AND(E55&gt;=M26,E55&lt;=N26),E55*0.2-427500,IF(AND(E55&gt;=M27,E55&lt;=N27),E55*0.23-636000,IF(AND(E55&gt;=M28,E55&lt;=N28),E55*0.33-1536000,IF(AND(E55&gt;=M29,E55&lt;=N29),E55*0.4-2796000,IF(E55&gt;=M30,E55*0.45-4796000,0)))))))</f>
        <v>0</v>
      </c>
      <c r="F56" s="85"/>
      <c r="M56" s="139"/>
      <c r="N56" s="150">
        <v>56001</v>
      </c>
      <c r="O56" s="161" t="s">
        <v>35</v>
      </c>
      <c r="P56" s="189">
        <v>28000</v>
      </c>
      <c r="Q56" s="203">
        <v>28000</v>
      </c>
      <c r="U56" t="s">
        <v>128</v>
      </c>
      <c r="V56" s="85" t="str">
        <f>IF(OR(X53="65～69",X53="70～(同居)",X53="70～(別居)"),"〇","")</f>
        <v/>
      </c>
      <c r="W56" s="85">
        <f>IF(W55&lt;3300000,1100000,IF(AND(W55&gt;=3300000,W55&lt;4100000),W55*0.25+275000,IF(AND(W55&gt;=4100000,W55&lt;7700000),W55*0.15+685000,IF(AND(W55&gt;=7700000,W55&lt;10000000),W55*0.05+1455000,IF(W55&gt;=10000000,1955000,0)))))</f>
        <v>1100000</v>
      </c>
      <c r="X56" t="s">
        <v>285</v>
      </c>
      <c r="Y56" s="85">
        <f>MAX(IF(Y55&gt;=100000,100000,Y55)+IF(Y53&gt;=100000,100000,Y53)-100000,0)</f>
        <v>0</v>
      </c>
      <c r="AA56" s="85"/>
    </row>
    <row r="57" spans="1:28">
      <c r="D57" s="102" t="s">
        <v>221</v>
      </c>
      <c r="E57" s="96">
        <f>E56-E59-E58</f>
        <v>0</v>
      </c>
      <c r="F57" s="85"/>
      <c r="G57" s="85"/>
      <c r="U57" t="s">
        <v>288</v>
      </c>
      <c r="V57" s="85" t="str">
        <f>IF(OR(X53="～15",X53="16～18",X53="19～22",X53="23～64"),"〇","")</f>
        <v/>
      </c>
      <c r="W57" s="85">
        <f>IF(W55&lt;1300000,600000,IF(AND(W55&gt;=1300000,W55&lt;4100000),W55*0.25+275000,IF(AND(W55&gt;=4100000,W55&lt;7700000),W55*0.15+685000,IF(AND(W55&gt;=7700000,W55&lt;10000000),W55*0.05+1455000,IF(W55&gt;=10000000,1955000)))))</f>
        <v>600000</v>
      </c>
      <c r="X57" s="226" t="s">
        <v>282</v>
      </c>
      <c r="Y57" s="231">
        <f>控除額!I40</f>
        <v>0</v>
      </c>
      <c r="AA57" s="85"/>
    </row>
    <row r="58" spans="1:28">
      <c r="D58" s="86" t="s">
        <v>239</v>
      </c>
      <c r="E58" s="85">
        <f>F51</f>
        <v>0</v>
      </c>
      <c r="F58" s="85"/>
      <c r="G58" s="85"/>
      <c r="S58" t="s">
        <v>90</v>
      </c>
      <c r="U58" t="s">
        <v>289</v>
      </c>
      <c r="V58" t="s">
        <v>87</v>
      </c>
      <c r="W58">
        <f>IF(Z59&lt;&gt;"特定親族特別",0,IF(AND(Y58&gt;$M$73,Y58&lt;=$N$73),$O$73,IF(AND(Y58&gt;$M$74,Y58&lt;=$N$74),$O$74,IF(AND(Y58&gt;$M$75,Y58&lt;=$N$75),$O$75,IF(AND(Y58&gt;$M$76,Y58&lt;=$N$76),$O$76,IF(AND(Y58&gt;$M$77,Y58&lt;=$N$77),$O$77,IF(AND(Y58&gt;$M$78,Y58&lt;=$N$78),$O$78,IF(AND(Y58&gt;$M$79,Y58&lt;=$N$79),$O$79,IF(AND(Y58&gt;$M$80,Y58&lt;=$N$80),$O$80,IF(AND(Y58&gt;$M$81,Y58&lt;=$N$81),$O$81,0))))))))))</f>
        <v>0</v>
      </c>
      <c r="X58" t="s">
        <v>19</v>
      </c>
      <c r="Y58" s="85">
        <f>Y54+Y55+Y56+Y57</f>
        <v>0</v>
      </c>
      <c r="AA58" s="85"/>
    </row>
    <row r="59" spans="1:28">
      <c r="D59" s="102" t="s">
        <v>232</v>
      </c>
      <c r="E59" s="96">
        <f>IF(OR(E56-F52&lt;0,E56-E58&lt;0,E56-F52-E58&lt;0),0,E56-F52-E58)</f>
        <v>0</v>
      </c>
      <c r="F59" s="85"/>
      <c r="G59" s="85"/>
      <c r="I59" s="96"/>
      <c r="J59" s="96"/>
      <c r="S59">
        <f>IF(S39+S43+S55&lt;70000,S39+S43+S55,70000)</f>
        <v>0</v>
      </c>
      <c r="V59" t="s">
        <v>290</v>
      </c>
      <c r="W59" s="60">
        <f>IF(Z59&lt;&gt;"特定親族特別",0,IF(AND(Y58&gt;$Q$73,Y58&lt;=$R$73),$S$73,IF(AND(Y58&gt;$Q$74,Y58&lt;=$R$74),$S$74,IF(AND(Y58&gt;$Q$75,Y58&lt;=$R$75),$S$75,IF(AND(Y58&gt;$Q$76,Y58&lt;=$R$76),$S$76,IF(AND(Y58&gt;$Q$77,Y58&lt;=$R$77),$S$77,IF(AND(Y58&gt;$Q$78,Y58&lt;=$R$78),$S$78,IF(AND(Y58&gt;$Q$79,Y58&lt;=$R$79),$S$79,0))))))))</f>
        <v>0</v>
      </c>
      <c r="Z59" t="str">
        <f>IF(AND(X53="～15",Y58&lt;=580000),"16未満",IF(AND(OR(X53="16～18",X53="23～64",X53="65～69"),Y58&lt;=580000),"その他扶養",IF(AND(X53="70～(同居)",Y58&lt;=580000),"同居老人",IF(AND(X53="70～(別居)",Y58&lt;=580000),"別居老人",IF(AND(X53="19～22",Y58&lt;=580000),"特定扶養",IF(AND(X53="19～22",Y58&gt;580000,Y58&lt;=1230000),"特定親族特別","扶養対象外"))))))</f>
        <v>扶養対象外</v>
      </c>
      <c r="AA59" s="85">
        <f>IF(OR(Z59="扶養対象外",Z59="16未満"),0,IF(Z59="その他扶養",330000,IF(Z59="同居老人",450000,IF(Z59="別居老人",380000,IF(Z59="特定扶養",450000,IF(Z59="特定親族特別",W59))))))</f>
        <v>0</v>
      </c>
      <c r="AB59" t="str">
        <f>IF(X53="","",IF(Z59="特定親族特別","特定親族特別控除の対象です",IF(Y58&gt;580000,"扶養控除の対象外です","")))</f>
        <v/>
      </c>
    </row>
    <row r="60" spans="1:28">
      <c r="D60" s="242" t="s">
        <v>215</v>
      </c>
      <c r="E60" s="235">
        <f>ROUNDDOWN(E59*0.021,0)</f>
        <v>0</v>
      </c>
      <c r="F60" s="85"/>
      <c r="H60" s="15"/>
      <c r="I60" s="96"/>
      <c r="J60" s="96"/>
      <c r="AA60" s="85"/>
    </row>
    <row r="61" spans="1:28" ht="14.25">
      <c r="D61" s="102" t="s">
        <v>87</v>
      </c>
      <c r="E61" s="96">
        <f>E59+E60</f>
        <v>0</v>
      </c>
      <c r="H61" s="15"/>
      <c r="I61" s="96"/>
      <c r="J61" s="96"/>
      <c r="M61" s="60" t="s">
        <v>134</v>
      </c>
      <c r="V61" t="s">
        <v>64</v>
      </c>
      <c r="W61" t="s">
        <v>186</v>
      </c>
      <c r="X61">
        <f>控除額!$F$35</f>
        <v>0</v>
      </c>
      <c r="Y61" s="85">
        <f>ROUNDDOWN(IF(W62&lt;=650999,0,IF(AND(W62&gt;=651000,W62&lt;=1899999),W62-650000,IF(AND(W62&gt;=1900000,W62&lt;=3599999),ROUNDDOWN(W62/4,-3)*2.8-80000,IF(AND(W62&gt;=3600000,W62&lt;=6599999),ROUNDDOWN(W62/4,-3)*3.2-440000,IF(AND(W62&gt;=6600000,W62&lt;=8499999),ROUNDDOWN(W62*0.9,0)-1100000,IF(W62&gt;=8500000,W62-1950000,0)))))),0)</f>
        <v>0</v>
      </c>
      <c r="AA61" s="85"/>
    </row>
    <row r="62" spans="1:28" ht="14.25">
      <c r="H62" s="15"/>
      <c r="I62" s="96"/>
      <c r="J62" s="96"/>
      <c r="M62" s="140" t="s">
        <v>5</v>
      </c>
      <c r="N62" s="159"/>
      <c r="O62" s="179" t="s">
        <v>197</v>
      </c>
      <c r="V62" t="s">
        <v>5</v>
      </c>
      <c r="W62" s="85">
        <f>控除額!$G$35</f>
        <v>0</v>
      </c>
      <c r="X62" t="s">
        <v>12</v>
      </c>
      <c r="Y62" s="85">
        <f>IF(Y64&gt;0,Y61-Y64,Y61)</f>
        <v>0</v>
      </c>
      <c r="AA62" s="85"/>
    </row>
    <row r="63" spans="1:28">
      <c r="H63" s="15"/>
      <c r="I63" s="96"/>
      <c r="J63" s="96"/>
      <c r="M63" s="141">
        <v>0</v>
      </c>
      <c r="N63" s="160">
        <v>2000000</v>
      </c>
      <c r="O63" s="180">
        <f>480000+100000+370000</f>
        <v>950000</v>
      </c>
      <c r="V63" t="s">
        <v>112</v>
      </c>
      <c r="W63" s="85">
        <f>控除額!$H$35</f>
        <v>0</v>
      </c>
      <c r="X63" t="s">
        <v>125</v>
      </c>
      <c r="Y63" s="85">
        <f>MAX(IF(V64="〇",W63-W64,IF(V65="〇",W63-W65)),0)</f>
        <v>0</v>
      </c>
      <c r="AA63" s="85"/>
    </row>
    <row r="64" spans="1:28">
      <c r="H64" s="102"/>
      <c r="I64" s="96"/>
      <c r="J64" s="96"/>
      <c r="M64" s="141">
        <v>2000001</v>
      </c>
      <c r="N64" s="160">
        <v>4750000</v>
      </c>
      <c r="O64" s="180">
        <f>480000+100000+300000</f>
        <v>880000</v>
      </c>
      <c r="U64" t="s">
        <v>128</v>
      </c>
      <c r="V64" s="85" t="str">
        <f>IF(OR(X61="65～69",X61="70～(同居)",X61="70～(別居)"),"〇","")</f>
        <v/>
      </c>
      <c r="W64" s="85">
        <f>IF(W63&lt;3300000,1100000,IF(AND(W63&gt;=3300000,W63&lt;4100000),W63*0.25+275000,IF(AND(W63&gt;=4100000,W63&lt;7700000),W63*0.15+685000,IF(AND(W63&gt;=7700000,W63&lt;10000000),W63*0.05+1455000,IF(W63&gt;=10000000,1955000,0)))))</f>
        <v>1100000</v>
      </c>
      <c r="X64" t="s">
        <v>285</v>
      </c>
      <c r="Y64" s="85">
        <f>MAX(IF(Y63&gt;=100000,100000,Y63)+IF(Y61&gt;=100000,100000,Y61)-100000,0)</f>
        <v>0</v>
      </c>
      <c r="AA64" s="85"/>
    </row>
    <row r="65" spans="2:28">
      <c r="B65" s="66"/>
      <c r="H65" s="102"/>
      <c r="I65" s="96"/>
      <c r="J65" s="96"/>
      <c r="M65" s="141">
        <v>4750001</v>
      </c>
      <c r="N65" s="160">
        <v>6650000</v>
      </c>
      <c r="O65" s="180">
        <f>480000+100000+100000</f>
        <v>680000</v>
      </c>
      <c r="U65" t="s">
        <v>288</v>
      </c>
      <c r="V65" s="85" t="str">
        <f>IF(OR(X61="～15",X61="16～18",X61="19～22",X61="23～64"),"〇","")</f>
        <v/>
      </c>
      <c r="W65" s="85">
        <f>IF(W63&lt;1300000,600000,IF(AND(W63&gt;=1300000,W63&lt;4100000),W63*0.25+275000,IF(AND(W63&gt;=4100000,W63&lt;7700000),W63*0.15+685000,IF(AND(W63&gt;=7700000,W63&lt;10000000),W63*0.05+1455000,IF(W63&gt;=10000000,1955000)))))</f>
        <v>600000</v>
      </c>
      <c r="X65" s="226" t="s">
        <v>282</v>
      </c>
      <c r="Y65" s="231">
        <f>控除額!I48</f>
        <v>0</v>
      </c>
      <c r="AA65" s="85"/>
    </row>
    <row r="66" spans="2:28">
      <c r="B66" s="261"/>
      <c r="H66" s="102"/>
      <c r="I66" s="96"/>
      <c r="J66" s="96"/>
      <c r="M66" s="141">
        <v>6650001</v>
      </c>
      <c r="N66" s="160">
        <v>8500000</v>
      </c>
      <c r="O66" s="180">
        <f>480000+100000+50000</f>
        <v>630000</v>
      </c>
      <c r="U66" t="s">
        <v>289</v>
      </c>
      <c r="V66" t="s">
        <v>87</v>
      </c>
      <c r="W66">
        <f>IF(Z67&lt;&gt;"特定親族特別",0,IF(AND(Y66&gt;$M$73,Y66&lt;=$N$73),$O$73,IF(AND(Y66&gt;$M$74,Y66&lt;=$N$74),$O$74,IF(AND(Y66&gt;$M$75,Y66&lt;=$N$75),$O$75,IF(AND(Y66&gt;$M$76,Y66&lt;=$N$76),$O$76,IF(AND(Y66&gt;$M$77,Y66&lt;=$N$77),$O$77,IF(AND(Y66&gt;$M$78,Y66&lt;=$N$78),$O$78,IF(AND(Y66&gt;$M$79,Y66&lt;=$N$79),$O$79,IF(AND(Y66&gt;$M$80,Y66&lt;=$N$80),$O$80,IF(AND(Y66&gt;$M$81,Y66&lt;=$N$81),$O$81,0))))))))))</f>
        <v>0</v>
      </c>
      <c r="X66" t="s">
        <v>19</v>
      </c>
      <c r="Y66" s="85">
        <f>Y62+Y63+Y64+Y65</f>
        <v>0</v>
      </c>
      <c r="AA66" s="85"/>
    </row>
    <row r="67" spans="2:28">
      <c r="B67" s="96"/>
      <c r="H67" s="102"/>
      <c r="I67" s="96"/>
      <c r="J67" s="96"/>
      <c r="M67" s="141">
        <v>8500001</v>
      </c>
      <c r="N67" s="160">
        <v>25450000</v>
      </c>
      <c r="O67" s="180">
        <f>480000+100000</f>
        <v>580000</v>
      </c>
      <c r="V67" t="s">
        <v>290</v>
      </c>
      <c r="W67" s="60">
        <f>IF(Z67&lt;&gt;"特定親族特別",0,IF(AND(Y66&gt;$Q$73,Y66&lt;=$R$73),$S$73,IF(AND(Y66&gt;$Q$74,Y66&lt;=$R$74),$S$74,IF(AND(Y66&gt;$Q$75,Y66&lt;=$R$75),$S$75,IF(AND(Y66&gt;$Q$76,Y66&lt;=$R$76),$S$76,IF(AND(Y66&gt;$Q$77,Y66&lt;=$R$77),$S$77,IF(AND(Y66&gt;$Q$78,Y66&lt;=$R$78),$S$78,IF(AND(Y66&gt;$Q$79,Y66&lt;=$R$79),$S$79,0))))))))</f>
        <v>0</v>
      </c>
      <c r="Z67" t="str">
        <f>IF(AND(X61="～15",Y66&lt;=580000),"16未満",IF(AND(OR(X61="16～18",X61="23～64",X61="65～69"),Y66&lt;=580000),"その他扶養",IF(AND(X61="70～(同居)",Y66&lt;=580000),"同居老人",IF(AND(X61="70～(別居)",Y66&lt;=580000),"別居老人",IF(AND(X61="19～22",Y66&lt;=580000),"特定扶養",IF(AND(X61="19～22",Y66&gt;580000,Y66&lt;=1230000),"特定親族特別","扶養対象外"))))))</f>
        <v>扶養対象外</v>
      </c>
      <c r="AA67" s="85">
        <f>IF(OR(Z67="扶養対象外",Z67="16未満"),0,IF(Z67="その他扶養",330000,IF(Z67="同居老人",450000,IF(Z67="別居老人",380000,IF(Z67="特定扶養",450000,IF(Z67="特定親族特別",W67))))))</f>
        <v>0</v>
      </c>
      <c r="AB67" t="str">
        <f>IF(X61="","",IF(Z67="特定親族特別","特定親族特別控除の対象です",IF(Y66&gt;580000,"扶養控除の対象外です","")))</f>
        <v/>
      </c>
    </row>
    <row r="68" spans="2:28">
      <c r="H68" s="102"/>
      <c r="I68" s="96"/>
      <c r="J68" s="96"/>
      <c r="M68" s="141">
        <v>25450001</v>
      </c>
      <c r="N68" s="160">
        <v>99999999</v>
      </c>
      <c r="O68" s="180">
        <v>0</v>
      </c>
      <c r="AA68" s="85"/>
    </row>
    <row r="69" spans="2:28" ht="14.25">
      <c r="H69" s="102"/>
      <c r="I69" s="96"/>
      <c r="J69" s="96"/>
      <c r="M69" s="142"/>
      <c r="N69" s="161"/>
      <c r="O69" s="181"/>
      <c r="V69" t="s">
        <v>36</v>
      </c>
      <c r="W69" t="s">
        <v>186</v>
      </c>
      <c r="X69">
        <f>控除額!$F$36</f>
        <v>0</v>
      </c>
      <c r="Y69" s="85">
        <f>ROUNDDOWN(IF(W70&lt;=650999,0,IF(AND(W70&gt;=651000,W70&lt;=1899999),W70-650000,IF(AND(W70&gt;=1900000,W70&lt;=3599999),ROUNDDOWN(W70/4,-3)*2.8-80000,IF(AND(W70&gt;=3600000,W70&lt;=6599999),ROUNDDOWN(W70/4,-3)*3.2-440000,IF(AND(W70&gt;=6600000,W70&lt;=8499999),ROUNDDOWN(W70*0.9,0)-1100000,IF(W70&gt;=8500000,W70-1950000,0)))))),0)</f>
        <v>0</v>
      </c>
      <c r="AA69" s="85"/>
    </row>
    <row r="70" spans="2:28">
      <c r="H70" s="247"/>
      <c r="I70" s="96"/>
      <c r="J70" s="96"/>
      <c r="V70" t="s">
        <v>5</v>
      </c>
      <c r="W70" s="85">
        <f>控除額!$G$36</f>
        <v>0</v>
      </c>
      <c r="X70" t="s">
        <v>12</v>
      </c>
      <c r="Y70" s="85">
        <f>IF(Y72&gt;0,Y69-Y72,Y69)</f>
        <v>0</v>
      </c>
      <c r="AA70" s="85"/>
    </row>
    <row r="71" spans="2:28">
      <c r="H71" s="15"/>
      <c r="I71" s="96"/>
      <c r="J71" s="96"/>
      <c r="V71" t="s">
        <v>112</v>
      </c>
      <c r="W71" s="85">
        <f>控除額!$H$36</f>
        <v>0</v>
      </c>
      <c r="X71" t="s">
        <v>125</v>
      </c>
      <c r="Y71" s="85">
        <f>MAX(IF(V72="〇",W71-W72,IF(V73="〇",W71-W73)),0)</f>
        <v>0</v>
      </c>
      <c r="AA71" s="85"/>
    </row>
    <row r="72" spans="2:28">
      <c r="H72" s="15"/>
      <c r="I72" s="96"/>
      <c r="J72" s="96"/>
      <c r="M72" t="s">
        <v>284</v>
      </c>
      <c r="Q72" t="s">
        <v>274</v>
      </c>
      <c r="U72" t="s">
        <v>128</v>
      </c>
      <c r="V72" s="85" t="str">
        <f>IF(OR(X69="65～69",X69="70～(同居)",X69="70～(別居)"),"〇","")</f>
        <v/>
      </c>
      <c r="W72" s="85">
        <f>IF(W71&lt;3300000,1100000,IF(AND(W71&gt;=3300000,W71&lt;4100000),W71*0.25+275000,IF(AND(W71&gt;=4100000,W71&lt;7700000),W71*0.15+685000,IF(AND(W71&gt;=7700000,W71&lt;10000000),W71*0.05+1455000,IF(W71&gt;=10000000,1955000,0)))))</f>
        <v>1100000</v>
      </c>
      <c r="X72" t="s">
        <v>285</v>
      </c>
      <c r="Y72" s="85">
        <f>MAX(IF(Y71&gt;=100000,100000,Y71)+IF(Y69&gt;=100000,100000,Y69)-100000,0)</f>
        <v>0</v>
      </c>
      <c r="AA72" s="85"/>
    </row>
    <row r="73" spans="2:28">
      <c r="H73" s="15"/>
      <c r="I73" s="96"/>
      <c r="J73" s="96"/>
      <c r="M73" s="143">
        <v>580000</v>
      </c>
      <c r="N73" s="162">
        <v>850000</v>
      </c>
      <c r="O73" s="145">
        <v>630000</v>
      </c>
      <c r="Q73" s="143">
        <v>580000</v>
      </c>
      <c r="R73" s="162">
        <v>950000</v>
      </c>
      <c r="S73" s="145">
        <v>450000</v>
      </c>
      <c r="U73" t="s">
        <v>288</v>
      </c>
      <c r="V73" s="85" t="str">
        <f>IF(OR(X69="～15",X69="16～18",X69="19～22",X69="23～64"),"〇","")</f>
        <v/>
      </c>
      <c r="W73" s="85">
        <f>IF(W71&lt;1300000,600000,IF(AND(W71&gt;=1300000,W71&lt;4100000),W71*0.25+275000,IF(AND(W71&gt;=4100000,W71&lt;7700000),W71*0.15+685000,IF(AND(W71&gt;=7700000,W71&lt;10000000),W71*0.05+1455000,IF(W71&gt;=10000000,1955000)))))</f>
        <v>600000</v>
      </c>
      <c r="X73" s="226" t="s">
        <v>282</v>
      </c>
      <c r="Y73" s="231">
        <f>控除額!I56</f>
        <v>0</v>
      </c>
      <c r="AA73" s="85"/>
    </row>
    <row r="74" spans="2:28">
      <c r="H74" s="15"/>
      <c r="I74" s="96"/>
      <c r="J74" s="96"/>
      <c r="M74" s="143">
        <v>850000</v>
      </c>
      <c r="N74" s="162">
        <v>900000</v>
      </c>
      <c r="O74" s="145">
        <v>610000</v>
      </c>
      <c r="Q74" s="143">
        <v>950000</v>
      </c>
      <c r="R74" s="162">
        <v>1000000</v>
      </c>
      <c r="S74" s="145">
        <v>410000</v>
      </c>
      <c r="U74" t="s">
        <v>289</v>
      </c>
      <c r="V74" t="s">
        <v>87</v>
      </c>
      <c r="W74">
        <f>IF(Z75&lt;&gt;"特定親族特別",0,IF(AND(Y74&gt;$M$73,Y74&lt;=$N$73),$O$73,IF(AND(Y74&gt;$M$74,Y74&lt;=$N$74),$O$74,IF(AND(Y74&gt;$M$75,Y74&lt;=$N$75),$O$75,IF(AND(Y74&gt;$M$76,Y74&lt;=$N$76),$O$76,IF(AND(Y74&gt;$M$77,Y74&lt;=$N$77),$O$77,IF(AND(Y74&gt;$M$78,Y74&lt;=$N$78),$O$78,IF(AND(Y74&gt;$M$79,Y74&lt;=$N$79),$O$79,IF(AND(Y74&gt;$M$80,Y74&lt;=$N$80),$O$80,IF(AND(Y74&gt;$M$81,Y74&lt;=$N$81),$O$81,0))))))))))</f>
        <v>0</v>
      </c>
      <c r="X74" t="s">
        <v>19</v>
      </c>
      <c r="Y74" s="85">
        <f>Y70+Y71+Y72+Y73</f>
        <v>0</v>
      </c>
      <c r="AA74" s="85"/>
    </row>
    <row r="75" spans="2:28">
      <c r="H75" s="15"/>
      <c r="I75" s="96"/>
      <c r="J75" s="96"/>
      <c r="M75" s="143">
        <v>900000</v>
      </c>
      <c r="N75" s="162">
        <v>950000</v>
      </c>
      <c r="O75" s="145">
        <v>510000</v>
      </c>
      <c r="Q75" s="143">
        <v>1000000</v>
      </c>
      <c r="R75" s="162">
        <v>1050000</v>
      </c>
      <c r="S75" s="145">
        <v>310000</v>
      </c>
      <c r="V75" t="s">
        <v>290</v>
      </c>
      <c r="W75" s="60">
        <f>IF(Z75&lt;&gt;"特定親族特別",0,IF(AND(Y74&gt;$Q$73,Y74&lt;=$R$73),$S$73,IF(AND(Y74&gt;$Q$74,Y74&lt;=$R$74),$S$74,IF(AND(Y74&gt;$Q$75,Y74&lt;=$R$75),$S$75,IF(AND(Y74&gt;$Q$76,Y74&lt;=$R$76),$S$76,IF(AND(Y74&gt;$Q$77,Y74&lt;=$R$77),$S$77,IF(AND(Y74&gt;$Q$78,Y74&lt;=$R$78),$S$78,IF(AND(Y74&gt;$Q$79,Y74&lt;=$R$79),$S$79,0))))))))</f>
        <v>0</v>
      </c>
      <c r="Z75" t="str">
        <f>IF(AND(X69="～15",Y74&lt;=580000),"16未満",IF(AND(OR(X69="16～18",X69="23～64",X69="65～69"),Y74&lt;=580000),"その他扶養",IF(AND(X69="70～(同居)",Y74&lt;=580000),"同居老人",IF(AND(X69="70～(別居)",Y74&lt;=580000),"別居老人",IF(AND(X69="19～22",Y74&lt;=580000),"特定扶養",IF(AND(X69="19～22",Y74&gt;580000,Y74&lt;=1230000),"特定親族特別","扶養対象外"))))))</f>
        <v>扶養対象外</v>
      </c>
      <c r="AA75" s="85">
        <f>IF(OR(Z75="扶養対象外",Z75="16未満"),0,IF(Z75="その他扶養",330000,IF(Z75="同居老人",450000,IF(Z75="別居老人",380000,IF(Z75="特定扶養",450000,IF(Z75="特定親族特別",W75))))))</f>
        <v>0</v>
      </c>
      <c r="AB75" t="str">
        <f>IF(X69="","",IF(Z75="特定親族特別","特定親族特別控除の対象です",IF(Y74&gt;580000,"扶養控除の対象外です","")))</f>
        <v/>
      </c>
    </row>
    <row r="76" spans="2:28">
      <c r="H76" s="15"/>
      <c r="I76" s="96"/>
      <c r="J76" s="96"/>
      <c r="M76" s="143">
        <v>950000</v>
      </c>
      <c r="N76" s="162">
        <v>1000000</v>
      </c>
      <c r="O76" s="145">
        <v>410000</v>
      </c>
      <c r="Q76" s="143">
        <v>1050000</v>
      </c>
      <c r="R76" s="162">
        <v>1100000</v>
      </c>
      <c r="S76" s="145">
        <v>210000</v>
      </c>
      <c r="AA76" s="85"/>
    </row>
    <row r="77" spans="2:28">
      <c r="H77" s="15"/>
      <c r="I77" s="96"/>
      <c r="J77" s="96"/>
      <c r="M77" s="143">
        <v>1000000</v>
      </c>
      <c r="N77" s="162">
        <v>1050000</v>
      </c>
      <c r="O77" s="145">
        <v>310000</v>
      </c>
      <c r="Q77" s="143">
        <v>1100000</v>
      </c>
      <c r="R77" s="162">
        <v>1150000</v>
      </c>
      <c r="S77" s="145">
        <v>110000</v>
      </c>
      <c r="V77" t="s">
        <v>292</v>
      </c>
      <c r="W77" t="s">
        <v>186</v>
      </c>
      <c r="X77">
        <f>控除額!$F$37</f>
        <v>0</v>
      </c>
      <c r="Y77" s="85">
        <f>ROUNDDOWN(IF(W78&lt;=650999,0,IF(AND(W78&gt;=651000,W78&lt;=1899999),W78-650000,IF(AND(W78&gt;=1900000,W78&lt;=3599999),ROUNDDOWN(W78/4,-3)*2.8-80000,IF(AND(W78&gt;=3600000,W78&lt;=6599999),ROUNDDOWN(W78/4,-3)*3.2-440000,IF(AND(W78&gt;=6600000,W78&lt;=8499999),ROUNDDOWN(W78*0.9,0)-1100000,IF(W78&gt;=8500000,W78-1950000,0)))))),0)</f>
        <v>0</v>
      </c>
      <c r="AA77" s="85"/>
    </row>
    <row r="78" spans="2:28">
      <c r="H78" s="96"/>
      <c r="I78" s="96"/>
      <c r="J78" s="96"/>
      <c r="M78" s="143">
        <v>1050000</v>
      </c>
      <c r="N78" s="162">
        <v>1100000</v>
      </c>
      <c r="O78" s="145">
        <v>210000</v>
      </c>
      <c r="Q78" s="143">
        <v>1150000</v>
      </c>
      <c r="R78" s="162">
        <v>1200000</v>
      </c>
      <c r="S78" s="145">
        <v>60000</v>
      </c>
      <c r="V78" t="s">
        <v>5</v>
      </c>
      <c r="W78" s="85">
        <f>控除額!$G$37</f>
        <v>0</v>
      </c>
      <c r="X78" t="s">
        <v>12</v>
      </c>
      <c r="Y78" s="85">
        <f>IF(Y80&gt;0,Y77-Y80,Y77)</f>
        <v>0</v>
      </c>
      <c r="AA78" s="85"/>
    </row>
    <row r="79" spans="2:28">
      <c r="H79" s="96"/>
      <c r="I79" s="96"/>
      <c r="J79" s="96"/>
      <c r="M79" s="143">
        <v>1100000</v>
      </c>
      <c r="N79" s="162">
        <v>1150000</v>
      </c>
      <c r="O79" s="145">
        <v>110000</v>
      </c>
      <c r="Q79" s="143">
        <v>1200000</v>
      </c>
      <c r="R79" s="162">
        <v>1230000</v>
      </c>
      <c r="S79" s="145">
        <v>30000</v>
      </c>
      <c r="V79" t="s">
        <v>112</v>
      </c>
      <c r="W79" s="85">
        <f>控除額!$H$37</f>
        <v>0</v>
      </c>
      <c r="X79" t="s">
        <v>125</v>
      </c>
      <c r="Y79" s="85">
        <f>MAX(IF(V80="〇",W79-W80,IF(V81="〇",W79-W81)),0)</f>
        <v>0</v>
      </c>
      <c r="AA79" s="85"/>
    </row>
    <row r="80" spans="2:28">
      <c r="H80" s="96"/>
      <c r="I80" s="96"/>
      <c r="J80" s="96"/>
      <c r="M80" s="143">
        <v>1150000</v>
      </c>
      <c r="N80" s="162">
        <v>1200000</v>
      </c>
      <c r="O80" s="145">
        <v>60000</v>
      </c>
      <c r="U80" t="s">
        <v>128</v>
      </c>
      <c r="V80" s="85" t="str">
        <f>IF(OR(X77="65～69",X77="70～(同居)",X77="70～(別居)"),"〇","")</f>
        <v/>
      </c>
      <c r="W80" s="85">
        <f>IF(W79&lt;3300000,1100000,IF(AND(W79&gt;=3300000,W79&lt;4100000),W79*0.25+275000,IF(AND(W79&gt;=4100000,W79&lt;7700000),W79*0.15+685000,IF(AND(W79&gt;=7700000,W79&lt;10000000),W79*0.05+1455000,IF(W79&gt;=10000000,1955000,0)))))</f>
        <v>1100000</v>
      </c>
      <c r="X80" t="s">
        <v>285</v>
      </c>
      <c r="Y80" s="85">
        <f>MAX(IF(Y79&gt;=100000,100000,Y79)+IF(Y77&gt;=100000,100000,Y77)-100000,0)</f>
        <v>0</v>
      </c>
      <c r="AA80" s="85"/>
    </row>
    <row r="81" spans="8:28">
      <c r="H81" s="96"/>
      <c r="I81" s="96"/>
      <c r="J81" s="96"/>
      <c r="M81" s="143">
        <v>1200000</v>
      </c>
      <c r="N81" s="162">
        <v>1230000</v>
      </c>
      <c r="O81" s="145">
        <v>30000</v>
      </c>
      <c r="U81" t="s">
        <v>288</v>
      </c>
      <c r="V81" s="85" t="str">
        <f>IF(OR(X77="～15",X77="16～18",X77="19～22",X77="23～64"),"〇","")</f>
        <v/>
      </c>
      <c r="W81" s="85">
        <f>IF(W79&lt;1300000,600000,IF(AND(W79&gt;=1300000,W79&lt;4100000),W79*0.25+275000,IF(AND(W79&gt;=4100000,W79&lt;7700000),W79*0.15+685000,IF(AND(W79&gt;=7700000,W79&lt;10000000),W79*0.05+1455000,IF(W79&gt;=10000000,1955000)))))</f>
        <v>600000</v>
      </c>
      <c r="X81" s="226" t="s">
        <v>282</v>
      </c>
      <c r="Y81" s="231">
        <f>控除額!I64</f>
        <v>0</v>
      </c>
      <c r="AA81" s="85"/>
    </row>
    <row r="82" spans="8:28">
      <c r="U82" t="s">
        <v>289</v>
      </c>
      <c r="V82" t="s">
        <v>87</v>
      </c>
      <c r="W82">
        <f>IF(Z83&lt;&gt;"特定親族特別",0,IF(AND(Y82&gt;$M$73,Y82&lt;=$N$73),$O$73,IF(AND(Y82&gt;$M$74,Y82&lt;=$N$74),$O$74,IF(AND(Y82&gt;$M$75,Y82&lt;=$N$75),$O$75,IF(AND(Y82&gt;$M$76,Y82&lt;=$N$76),$O$76,IF(AND(Y82&gt;$M$77,Y82&lt;=$N$77),$O$77,IF(AND(Y82&gt;$M$78,Y82&lt;=$N$78),$O$78,IF(AND(Y82&gt;$M$79,Y82&lt;=$N$79),$O$79,IF(AND(Y82&gt;$M$80,Y82&lt;=$N$80),$O$80,IF(AND(Y82&gt;$M$81,Y82&lt;=$N$81),$O$81,0))))))))))</f>
        <v>0</v>
      </c>
      <c r="X82" t="s">
        <v>19</v>
      </c>
      <c r="Y82" s="85">
        <f>Y78+Y79+Y80+Y81</f>
        <v>0</v>
      </c>
      <c r="AA82" s="85"/>
    </row>
    <row r="83" spans="8:28" ht="14.25">
      <c r="U83" s="221"/>
      <c r="V83" s="221" t="s">
        <v>290</v>
      </c>
      <c r="W83" s="221">
        <f>IF(Z83&lt;&gt;"特定親族特別",0,IF(AND(Y82&gt;$Q$73,Y82&lt;=$R$73),$S$73,IF(AND(Y82&gt;$Q$74,Y82&lt;=$R$74),$S$74,IF(AND(Y82&gt;$Q$75,Y82&lt;=$R$75),$S$75,IF(AND(Y82&gt;$Q$76,Y82&lt;=$R$76),$S$76,IF(AND(Y82&gt;$Q$77,Y82&lt;=$R$77),$S$77,IF(AND(Y82&gt;$Q$78,Y82&lt;=$R$78),$S$78,IF(AND(Y82&gt;$Q$79,Y82&lt;=$R$79),$S$79,0))))))))</f>
        <v>0</v>
      </c>
      <c r="X83" s="221"/>
      <c r="Y83" s="221"/>
      <c r="Z83" s="221" t="str">
        <f>IF(AND(X77="～15",Y82&lt;=580000),"16未満",IF(AND(OR(X77="16～18",X77="23～64",X77="65～69"),Y82&lt;=580000),"その他扶養",IF(AND(X77="70～(同居)",Y82&lt;=580000),"同居老人",IF(AND(X77="70～(別居)",Y82&lt;=580000),"別居老人",IF(AND(X77="19～22",Y82&lt;=580000),"特定扶養",IF(AND(X77="19～22",Y82&gt;580000,Y82&lt;=1230000),"特定親族特別","扶養対象外"))))))</f>
        <v>扶養対象外</v>
      </c>
      <c r="AA83" s="234">
        <f>IF(OR(Z83="扶養対象外",Z83="16未満"),0,IF(Z83="その他扶養",330000,IF(Z83="同居老人",450000,IF(Z83="別居老人",380000,IF(Z83="特定扶養",450000,IF(Z83="特定親族特別",W83))))))</f>
        <v>0</v>
      </c>
      <c r="AB83" t="str">
        <f>IF(X77="","",IF(Z83="特定親族特別","特定親族特別控除の対象です",IF(Y82&gt;580000,"扶養控除の対象外です","")))</f>
        <v/>
      </c>
    </row>
    <row r="84" spans="8:28">
      <c r="Y84" t="s">
        <v>293</v>
      </c>
      <c r="Z84">
        <f>COUNTIF($Z$45:$Z$83,"16未満")</f>
        <v>0</v>
      </c>
      <c r="AA84" s="85">
        <f>SUMIF($Z$45:$Z$83,"16未満",$AA$45:$AA$83)</f>
        <v>0</v>
      </c>
    </row>
    <row r="85" spans="8:28">
      <c r="Y85" t="s">
        <v>294</v>
      </c>
      <c r="Z85">
        <f>COUNTIF($Z$45:$Z$83,"その他扶養")</f>
        <v>0</v>
      </c>
      <c r="AA85" s="85">
        <f>SUMIF($Z$45:$Z$83,"その他扶養",$AA$45:$AA$83)</f>
        <v>0</v>
      </c>
    </row>
    <row r="86" spans="8:28">
      <c r="Y86" t="s">
        <v>295</v>
      </c>
      <c r="Z86">
        <f>COUNTIF($Z$45:$Z$83,"同居老人")</f>
        <v>0</v>
      </c>
      <c r="AA86" s="85">
        <f>SUMIF($Z$45:$Z$83,"同居老人",$AA$45:$AA$83)</f>
        <v>0</v>
      </c>
    </row>
    <row r="87" spans="8:28">
      <c r="Y87" t="s">
        <v>296</v>
      </c>
      <c r="Z87">
        <f>COUNTIF($Z$45:$Z$83,"別居老人")</f>
        <v>0</v>
      </c>
      <c r="AA87" s="85">
        <f>SUMIF($Z$45:$Z$83,"別居老人",$AA$45:$AA$83)</f>
        <v>0</v>
      </c>
    </row>
    <row r="88" spans="8:28">
      <c r="Y88" t="s">
        <v>297</v>
      </c>
      <c r="Z88">
        <f>COUNTIF($Z$45:$Z$83,"特定扶養")</f>
        <v>0</v>
      </c>
      <c r="AA88" s="85">
        <f>SUMIF($Z$45:$Z$83,"特定扶養",$AA$45:$AA$83)</f>
        <v>0</v>
      </c>
    </row>
    <row r="89" spans="8:28">
      <c r="Y89" t="s">
        <v>148</v>
      </c>
      <c r="Z89" t="s">
        <v>87</v>
      </c>
      <c r="AA89" s="85">
        <f>W50+W58+W66+W74+W82</f>
        <v>0</v>
      </c>
    </row>
    <row r="90" spans="8:28">
      <c r="Z90" t="s">
        <v>290</v>
      </c>
      <c r="AA90" s="85">
        <f>W51+W59+W67+W75+W83</f>
        <v>0</v>
      </c>
    </row>
  </sheetData>
  <mergeCells count="15">
    <mergeCell ref="M62:N62"/>
    <mergeCell ref="M13:M15"/>
    <mergeCell ref="V13:V15"/>
    <mergeCell ref="M16:M17"/>
    <mergeCell ref="V16:V18"/>
    <mergeCell ref="V19:V21"/>
    <mergeCell ref="V22:V24"/>
    <mergeCell ref="V25:V27"/>
    <mergeCell ref="M37:M40"/>
    <mergeCell ref="V37:V39"/>
    <mergeCell ref="V40:V41"/>
    <mergeCell ref="M41:M44"/>
    <mergeCell ref="M45:M48"/>
    <mergeCell ref="M49:M52"/>
    <mergeCell ref="M53:M56"/>
  </mergeCells>
  <phoneticPr fontId="1"/>
  <pageMargins left="0.7" right="0.7" top="0.75" bottom="0.75" header="0.3" footer="0.3"/>
  <pageSetup paperSize="9" scale="65" fitToWidth="0"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4</vt:i4>
      </vt:variant>
    </vt:vector>
  </HeadingPairs>
  <TitlesOfParts>
    <vt:vector size="4" baseType="lpstr">
      <vt:lpstr>控除額</vt:lpstr>
      <vt:lpstr>計算 (3)</vt:lpstr>
      <vt:lpstr>計算 (2)</vt:lpstr>
      <vt:lpstr>計算</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mn-2064suzuki</dc:creator>
  <cp:lastModifiedBy>鈴木 佑奈</cp:lastModifiedBy>
  <cp:lastPrinted>2022-12-14T04:39:44Z</cp:lastPrinted>
  <dcterms:created xsi:type="dcterms:W3CDTF">2022-07-28T07:51:08Z</dcterms:created>
  <dcterms:modified xsi:type="dcterms:W3CDTF">2025-12-12T00:01:56Z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2025-12-12T00:01:56Z</vt:filetime>
  </property>
</Properties>
</file>