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7A2D7E96-6E34-419A-AE5F-296B3A7E7977}"/>
  <workbookPr codeName="ThisWorkbook" checkCompatibility="1"/>
  <workbookProtection workbookPassword="E8D3" lockStructure="1"/>
  <bookViews>
    <workbookView xWindow="0" yWindow="0" windowWidth="25815" windowHeight="8625"/>
  </bookViews>
  <sheets>
    <sheet name="2給報" sheetId="1" r:id="rId1"/>
    <sheet name="計算" sheetId="2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岩崎　敏巳</author>
  </authors>
  <commentList>
    <comment ref="AA18" authorId="0">
      <text>
        <r>
          <rPr>
            <b/>
            <sz val="9"/>
            <color indexed="81"/>
            <rFont val="ＭＳ Ｐゴシック"/>
          </rPr>
          <t xml:space="preserve">給与支払報告書の様式は一般のみですが、16歳以上19歳未満と分けて入力してください。
</t>
        </r>
        <r>
          <rPr>
            <b/>
            <sz val="8"/>
            <color indexed="81"/>
            <rFont val="ＭＳ Ｐゴシック"/>
          </rPr>
          <t>＊収入850万円以上の場合、金額に影響がでます。</t>
        </r>
      </text>
    </comment>
  </commentList>
</comments>
</file>

<file path=xl/comments2.xml><?xml version="1.0" encoding="utf-8"?>
<comments xmlns="http://schemas.openxmlformats.org/spreadsheetml/2006/main">
  <authors>
    <author>ZEIMU07</author>
  </authors>
  <commentList>
    <comment ref="C7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8" authorId="0">
      <text>
        <r>
          <rPr>
            <b/>
            <sz val="9"/>
            <color indexed="81"/>
            <rFont val="ＭＳ Ｐゴシック"/>
          </rPr>
          <t>あり＝１</t>
        </r>
      </text>
    </comment>
    <comment ref="C9" authorId="0">
      <text>
        <r>
          <rPr>
            <b/>
            <sz val="9"/>
            <color indexed="81"/>
            <rFont val="ＭＳ Ｐゴシック"/>
          </rPr>
          <t>控除額を入力</t>
        </r>
      </text>
    </comment>
    <comment ref="C10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12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13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14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15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E16" authorId="0">
      <text>
        <r>
          <rPr>
            <b/>
            <sz val="9"/>
            <color indexed="81"/>
            <rFont val="ＭＳ Ｐゴシック"/>
          </rPr>
          <t>配偶者の合計所得</t>
        </r>
      </text>
    </comment>
    <comment ref="E18" authorId="0">
      <text>
        <r>
          <rPr>
            <b/>
            <sz val="9"/>
            <color indexed="81"/>
            <rFont val="ＭＳ Ｐゴシック"/>
          </rPr>
          <t>個人年金保険料の金額</t>
        </r>
      </text>
    </comment>
    <comment ref="E25" authorId="0">
      <text>
        <r>
          <rPr>
            <b/>
            <sz val="9"/>
            <color indexed="81"/>
            <rFont val="ＭＳ Ｐゴシック"/>
          </rPr>
          <t>長期損害保険料の金額</t>
        </r>
      </text>
    </comment>
    <comment ref="E20" authorId="0">
      <text>
        <r>
          <rPr>
            <b/>
            <sz val="9"/>
            <color indexed="81"/>
            <rFont val="ＭＳ Ｐゴシック"/>
          </rPr>
          <t>個人年金保険料の金額</t>
        </r>
      </text>
    </comment>
    <comment ref="E22" authorId="0">
      <text>
        <r>
          <rPr>
            <b/>
            <sz val="9"/>
            <color indexed="81"/>
            <rFont val="ＭＳ Ｐゴシック"/>
          </rPr>
          <t>個人年金保険料の金額</t>
        </r>
      </text>
    </comment>
    <comment ref="G18" authorId="0">
      <text>
        <r>
          <rPr>
            <b/>
            <sz val="9"/>
            <color indexed="81"/>
            <rFont val="ＭＳ Ｐゴシック"/>
          </rPr>
          <t>個人年金保険料の金額</t>
        </r>
      </text>
    </comment>
    <comment ref="G20" authorId="0">
      <text>
        <r>
          <rPr>
            <b/>
            <sz val="9"/>
            <color indexed="81"/>
            <rFont val="ＭＳ Ｐゴシック"/>
          </rPr>
          <t>個人年金保険料の金額</t>
        </r>
      </text>
    </comment>
    <comment ref="C16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31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30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9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8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7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6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5" authorId="0">
      <text>
        <r>
          <rPr>
            <b/>
            <sz val="9"/>
            <color indexed="81"/>
            <rFont val="ＭＳ Ｐゴシック"/>
          </rPr>
          <t>あり＝１
なし＝０</t>
        </r>
      </text>
    </comment>
    <comment ref="C24" authorId="0">
      <text>
        <r>
          <rPr>
            <b/>
            <sz val="9"/>
            <color indexed="81"/>
            <rFont val="ＭＳ Ｐゴシック"/>
          </rPr>
          <t>借入金特別控除を入力</t>
        </r>
      </text>
    </comment>
    <comment ref="C22" authorId="0">
      <text>
        <r>
          <rPr>
            <b/>
            <sz val="9"/>
            <color indexed="81"/>
            <rFont val="ＭＳ Ｐゴシック"/>
          </rPr>
          <t>控除額を入力</t>
        </r>
      </text>
    </comment>
    <comment ref="C21" authorId="0">
      <text>
        <r>
          <rPr>
            <b/>
            <sz val="9"/>
            <color indexed="81"/>
            <rFont val="ＭＳ Ｐゴシック"/>
          </rPr>
          <t>控除額を入力</t>
        </r>
      </text>
    </comment>
    <comment ref="C19" authorId="0">
      <text>
        <r>
          <rPr>
            <b/>
            <sz val="9"/>
            <color indexed="81"/>
            <rFont val="ＭＳ Ｐゴシック"/>
          </rPr>
          <t>控除額を入力</t>
        </r>
      </text>
    </comment>
    <comment ref="C18" authorId="0">
      <text>
        <r>
          <rPr>
            <b/>
            <sz val="9"/>
            <color indexed="81"/>
            <rFont val="ＭＳ Ｐゴシック"/>
          </rPr>
          <t>人数を入力</t>
        </r>
      </text>
    </comment>
    <comment ref="C17" authorId="0">
      <text>
        <r>
          <rPr>
            <b/>
            <sz val="9"/>
            <color indexed="81"/>
            <rFont val="ＭＳ Ｐゴシック"/>
          </rPr>
          <t>人数を入力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<sst xmlns="http://schemas.openxmlformats.org/spreadsheetml/2006/main" xmlns:r="http://schemas.openxmlformats.org/officeDocument/2006/relationships" count="211" uniqueCount="211">
  <si>
    <t>老人</t>
    <rPh sb="0" eb="2">
      <t>ロウジン</t>
    </rPh>
    <phoneticPr fontId="19"/>
  </si>
  <si>
    <t>外個人</t>
    <rPh sb="0" eb="1">
      <t>ガイ</t>
    </rPh>
    <rPh sb="1" eb="3">
      <t>コジン</t>
    </rPh>
    <phoneticPr fontId="19"/>
  </si>
  <si>
    <t>受給者番号</t>
    <rPh sb="0" eb="3">
      <t>ジュキュウシャ</t>
    </rPh>
    <rPh sb="3" eb="5">
      <t>バンゴウ</t>
    </rPh>
    <phoneticPr fontId="19"/>
  </si>
  <si>
    <t>住宅借入金等
特別控除可能額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9"/>
  </si>
  <si>
    <t>旧生命</t>
    <rPh sb="0" eb="1">
      <t>キュウ</t>
    </rPh>
    <rPh sb="1" eb="3">
      <t>セイメイ</t>
    </rPh>
    <phoneticPr fontId="19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</si>
  <si>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9"/>
  </si>
  <si>
    <t>旧個人年金</t>
    <rPh sb="0" eb="1">
      <t>キュウ</t>
    </rPh>
    <rPh sb="1" eb="3">
      <t>コジン</t>
    </rPh>
    <rPh sb="3" eb="5">
      <t>ネンキン</t>
    </rPh>
    <phoneticPr fontId="19"/>
  </si>
  <si>
    <t>本人＋扶養人数</t>
    <rPh sb="0" eb="2">
      <t>ホンニン</t>
    </rPh>
    <rPh sb="3" eb="5">
      <t>フヨウ</t>
    </rPh>
    <rPh sb="5" eb="7">
      <t>ニンズウ</t>
    </rPh>
    <phoneticPr fontId="19"/>
  </si>
  <si>
    <t>A＊0.25＋25,000</t>
  </si>
  <si>
    <t xml:space="preserve"> </t>
  </si>
  <si>
    <t>№１</t>
  </si>
  <si>
    <t>フリガナ</t>
  </si>
  <si>
    <t>寡婦</t>
    <rPh sb="0" eb="1">
      <t>カ</t>
    </rPh>
    <rPh sb="1" eb="2">
      <t>フ</t>
    </rPh>
    <phoneticPr fontId="19"/>
  </si>
  <si>
    <t>を受け</t>
    <rPh sb="1" eb="2">
      <t>ウ</t>
    </rPh>
    <phoneticPr fontId="19"/>
  </si>
  <si>
    <t>内</t>
    <rPh sb="0" eb="1">
      <t>ウチ</t>
    </rPh>
    <phoneticPr fontId="19"/>
  </si>
  <si>
    <t>支　払</t>
    <rPh sb="0" eb="1">
      <t>ササ</t>
    </rPh>
    <rPh sb="2" eb="3">
      <t>バライ</t>
    </rPh>
    <phoneticPr fontId="19"/>
  </si>
  <si>
    <t>※</t>
  </si>
  <si>
    <t>住宅借入
金等特別
控除の額
の内訳</t>
    <rPh sb="0" eb="2">
      <t>ジュウタク</t>
    </rPh>
    <rPh sb="2" eb="3">
      <t>シャク</t>
    </rPh>
    <rPh sb="5" eb="7">
      <t>キンナド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9"/>
  </si>
  <si>
    <t>D＊0.25＋20,000</t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</si>
  <si>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9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</si>
  <si>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9"/>
  </si>
  <si>
    <t>A/4*3.2-440,000</t>
  </si>
  <si>
    <t>※区分</t>
    <rPh sb="1" eb="3">
      <t>クブン</t>
    </rPh>
    <phoneticPr fontId="19"/>
  </si>
  <si>
    <t>氏</t>
    <rPh sb="0" eb="1">
      <t>シ</t>
    </rPh>
    <phoneticPr fontId="19"/>
  </si>
  <si>
    <t>住</t>
    <rPh sb="0" eb="1">
      <t>ジュウ</t>
    </rPh>
    <phoneticPr fontId="19"/>
  </si>
  <si>
    <t>（カタカナ）</t>
  </si>
  <si>
    <t>役職名</t>
    <rPh sb="0" eb="2">
      <t>ヤクショク</t>
    </rPh>
    <rPh sb="2" eb="3">
      <t>メイ</t>
    </rPh>
    <phoneticPr fontId="19"/>
  </si>
  <si>
    <t>その他</t>
    <rPh sb="2" eb="3">
      <t>タ</t>
    </rPh>
    <phoneticPr fontId="19"/>
  </si>
  <si>
    <t>住宅借入金等
年末残高（２回目）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9"/>
  </si>
  <si>
    <t>三枚目に下敷を入れてください。</t>
    <rPh sb="0" eb="1">
      <t>３</t>
    </rPh>
    <rPh sb="1" eb="2">
      <t>マイ</t>
    </rPh>
    <rPh sb="2" eb="3">
      <t>メ</t>
    </rPh>
    <rPh sb="4" eb="6">
      <t>シタジ</t>
    </rPh>
    <rPh sb="7" eb="8">
      <t>イ</t>
    </rPh>
    <phoneticPr fontId="19"/>
  </si>
  <si>
    <t>E＊0.5＋10,000</t>
  </si>
  <si>
    <t>生命保険料控除金額</t>
    <rPh sb="0" eb="2">
      <t>セイメイ</t>
    </rPh>
    <rPh sb="2" eb="5">
      <t>ホケンリョウ</t>
    </rPh>
    <rPh sb="5" eb="7">
      <t>コウジョ</t>
    </rPh>
    <rPh sb="7" eb="9">
      <t>キンガク</t>
    </rPh>
    <phoneticPr fontId="19"/>
  </si>
  <si>
    <t>定額減税控除済額</t>
    <rPh sb="0" eb="2">
      <t>テイガク</t>
    </rPh>
    <rPh sb="2" eb="4">
      <t>ゲンゼイ</t>
    </rPh>
    <rPh sb="4" eb="6">
      <t>コウジョ</t>
    </rPh>
    <rPh sb="6" eb="7">
      <t>ズミ</t>
    </rPh>
    <rPh sb="7" eb="8">
      <t>ガク</t>
    </rPh>
    <phoneticPr fontId="19"/>
  </si>
  <si>
    <t>旧生命保険</t>
    <rPh sb="0" eb="1">
      <t>キュウ</t>
    </rPh>
    <rPh sb="1" eb="3">
      <t>セイメイ</t>
    </rPh>
    <rPh sb="3" eb="5">
      <t>ホケン</t>
    </rPh>
    <phoneticPr fontId="19"/>
  </si>
  <si>
    <t>配控</t>
    <rPh sb="0" eb="1">
      <t>ハイ</t>
    </rPh>
    <rPh sb="1" eb="2">
      <t>コウ</t>
    </rPh>
    <phoneticPr fontId="19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</si>
  <si>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9"/>
  </si>
  <si>
    <t>従人</t>
    <rPh sb="0" eb="1">
      <t>ジュウ</t>
    </rPh>
    <rPh sb="1" eb="2">
      <t>ニン</t>
    </rPh>
    <phoneticPr fontId="19"/>
  </si>
  <si>
    <t>支　　払　　金　　額</t>
    <rPh sb="0" eb="1">
      <t>ササ</t>
    </rPh>
    <rPh sb="3" eb="4">
      <t>バライ</t>
    </rPh>
    <rPh sb="6" eb="7">
      <t>キン</t>
    </rPh>
    <rPh sb="9" eb="10">
      <t>ガク</t>
    </rPh>
    <phoneticPr fontId="19"/>
  </si>
  <si>
    <t>新生命保険</t>
    <rPh sb="0" eb="1">
      <t>シン</t>
    </rPh>
    <rPh sb="1" eb="3">
      <t>セイメイ</t>
    </rPh>
    <rPh sb="3" eb="5">
      <t>ホケン</t>
    </rPh>
    <phoneticPr fontId="19"/>
  </si>
  <si>
    <t>払</t>
    <rPh sb="0" eb="1">
      <t>ハラ</t>
    </rPh>
    <phoneticPr fontId="19"/>
  </si>
  <si>
    <t>新個人年金</t>
    <rPh sb="0" eb="1">
      <t>シン</t>
    </rPh>
    <rPh sb="1" eb="3">
      <t>コジン</t>
    </rPh>
    <rPh sb="3" eb="5">
      <t>ネンキン</t>
    </rPh>
    <phoneticPr fontId="19"/>
  </si>
  <si>
    <r>
      <t>↓</t>
    </r>
    <r>
      <rPr>
        <b/>
        <sz val="14"/>
        <color indexed="10"/>
        <rFont val="ＭＳ Ｐゴシック"/>
      </rPr>
      <t>エラー</t>
    </r>
  </si>
  <si>
    <t>16-18</t>
  </si>
  <si>
    <t>配偶者の
合計所得</t>
    <rPh sb="0" eb="3">
      <t>ハイグウシャ</t>
    </rPh>
    <rPh sb="5" eb="7">
      <t>ゴウケイ</t>
    </rPh>
    <rPh sb="7" eb="9">
      <t>ショトク</t>
    </rPh>
    <phoneticPr fontId="19"/>
  </si>
  <si>
    <t>介護医療</t>
    <rPh sb="0" eb="2">
      <t>カイゴ</t>
    </rPh>
    <rPh sb="2" eb="4">
      <t>イリョウ</t>
    </rPh>
    <phoneticPr fontId="19"/>
  </si>
  <si>
    <t>B＊0.5＋12,500</t>
  </si>
  <si>
    <t>所</t>
    <rPh sb="0" eb="1">
      <t>ショ</t>
    </rPh>
    <phoneticPr fontId="19"/>
  </si>
  <si>
    <t>名</t>
    <rPh sb="0" eb="1">
      <t>メイ</t>
    </rPh>
    <phoneticPr fontId="19"/>
  </si>
  <si>
    <t>又は所在地</t>
    <rPh sb="0" eb="1">
      <t>マタ</t>
    </rPh>
    <rPh sb="2" eb="5">
      <t>ショザイチ</t>
    </rPh>
    <phoneticPr fontId="19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</si>
  <si>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9"/>
  </si>
  <si>
    <t>る　者</t>
    <rPh sb="2" eb="3">
      <t>モノ</t>
    </rPh>
    <phoneticPr fontId="19"/>
  </si>
  <si>
    <t>住宅借入金等特別
控除区分（２回目）</t>
    <rPh sb="0" eb="2">
      <t>ジュウタク</t>
    </rPh>
    <rPh sb="2" eb="3">
      <t>シャク</t>
    </rPh>
    <rPh sb="3" eb="5">
      <t>ニュウキン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9"/>
  </si>
  <si>
    <t>種　　　　　　　　　　別</t>
    <rPh sb="0" eb="1">
      <t>タネ</t>
    </rPh>
    <rPh sb="11" eb="12">
      <t>ベツ</t>
    </rPh>
    <phoneticPr fontId="19"/>
  </si>
  <si>
    <t>C＊0.25＋20,000</t>
  </si>
  <si>
    <t>源泉徴収税額</t>
    <rPh sb="0" eb="2">
      <t>ゲンセン</t>
    </rPh>
    <rPh sb="2" eb="4">
      <t>チョウシュウ</t>
    </rPh>
    <rPh sb="4" eb="6">
      <t>ゼイガク</t>
    </rPh>
    <phoneticPr fontId="19"/>
  </si>
  <si>
    <t>旧個人年金保険料の金額</t>
    <rPh sb="0" eb="1">
      <t>キュウ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19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</si>
  <si>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9"/>
  </si>
  <si>
    <t>(源泉)控除対象配偶</t>
    <rPh sb="1" eb="3">
      <t>ゲンセン</t>
    </rPh>
    <rPh sb="4" eb="6">
      <t>コウジョ</t>
    </rPh>
    <rPh sb="6" eb="8">
      <t>タイショウ</t>
    </rPh>
    <rPh sb="8" eb="10">
      <t>ハイグウ</t>
    </rPh>
    <phoneticPr fontId="19"/>
  </si>
  <si>
    <t>特定親族特別控除</t>
    <rPh sb="0" eb="2">
      <t>トクテイ</t>
    </rPh>
    <rPh sb="2" eb="4">
      <t>シンゾク</t>
    </rPh>
    <rPh sb="4" eb="6">
      <t>トクベツ</t>
    </rPh>
    <rPh sb="6" eb="8">
      <t>コウジョ</t>
    </rPh>
    <phoneticPr fontId="19"/>
  </si>
  <si>
    <t>配偶者（特別）
控除の額</t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</si>
  <si>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9"/>
  </si>
  <si>
    <t>控除対象扶養親族の数
（配　偶　者　を　除　く）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3">
      <t>ハイ</t>
    </rPh>
    <rPh sb="14" eb="15">
      <t>グウ</t>
    </rPh>
    <rPh sb="16" eb="17">
      <t>モノ</t>
    </rPh>
    <rPh sb="20" eb="21">
      <t>ノゾ</t>
    </rPh>
    <phoneticPr fontId="19"/>
  </si>
  <si>
    <t>居住開始年月日
（１　回　目）</t>
    <rPh sb="0" eb="2">
      <t>キョジュウ</t>
    </rPh>
    <rPh sb="2" eb="4">
      <t>カイシ</t>
    </rPh>
    <rPh sb="4" eb="7">
      <t>ネンガッピ</t>
    </rPh>
    <rPh sb="11" eb="12">
      <t>カイ</t>
    </rPh>
    <rPh sb="13" eb="14">
      <t>メ</t>
    </rPh>
    <phoneticPr fontId="19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</si>
  <si>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9"/>
  </si>
  <si>
    <t>障害者の数
（本人を除く）</t>
    <rPh sb="0" eb="3">
      <t>ショウガイシャ</t>
    </rPh>
    <rPh sb="4" eb="5">
      <t>カズ</t>
    </rPh>
    <rPh sb="7" eb="9">
      <t>ホンニン</t>
    </rPh>
    <rPh sb="10" eb="11">
      <t>ノゾ</t>
    </rPh>
    <phoneticPr fontId="19"/>
  </si>
  <si>
    <t>老　　人</t>
    <rPh sb="0" eb="1">
      <t>ロウ</t>
    </rPh>
    <rPh sb="3" eb="4">
      <t>ヒト</t>
    </rPh>
    <phoneticPr fontId="19"/>
  </si>
  <si>
    <t>者の有無等</t>
    <rPh sb="0" eb="1">
      <t>シャ</t>
    </rPh>
    <rPh sb="2" eb="4">
      <t>ウム</t>
    </rPh>
    <rPh sb="4" eb="5">
      <t>トウ</t>
    </rPh>
    <phoneticPr fontId="19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</si>
  <si>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9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</si>
  <si>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9"/>
  </si>
  <si>
    <t>特　　定</t>
    <rPh sb="0" eb="1">
      <t>トク</t>
    </rPh>
    <rPh sb="3" eb="4">
      <t>サダム</t>
    </rPh>
    <phoneticPr fontId="19"/>
  </si>
  <si>
    <t>そ　の　他</t>
    <rPh sb="4" eb="5">
      <t>タ</t>
    </rPh>
    <phoneticPr fontId="19"/>
  </si>
  <si>
    <t>特別障害</t>
    <rPh sb="0" eb="2">
      <t>トクベツ</t>
    </rPh>
    <rPh sb="2" eb="4">
      <t>ショウガイ</t>
    </rPh>
    <phoneticPr fontId="19"/>
  </si>
  <si>
    <t>所得税額</t>
    <rPh sb="0" eb="3">
      <t>ショトクゼイ</t>
    </rPh>
    <rPh sb="3" eb="4">
      <t>ガク</t>
    </rPh>
    <phoneticPr fontId="19"/>
  </si>
  <si>
    <t>特　　別</t>
    <rPh sb="0" eb="1">
      <t>トク</t>
    </rPh>
    <rPh sb="3" eb="4">
      <t>ベツ</t>
    </rPh>
    <phoneticPr fontId="19"/>
  </si>
  <si>
    <t>住宅借入金等
特別控除適用数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9"/>
  </si>
  <si>
    <t>B＊0.25＋25,000</t>
  </si>
  <si>
    <t>他</t>
    <rPh sb="0" eb="1">
      <t>タ</t>
    </rPh>
    <phoneticPr fontId="19"/>
  </si>
  <si>
    <t>復興所得税抜き源泉徴収税額</t>
    <rPh sb="0" eb="2">
      <t>フッコウ</t>
    </rPh>
    <rPh sb="2" eb="5">
      <t>ショトクゼイ</t>
    </rPh>
    <rPh sb="5" eb="6">
      <t>ヌ</t>
    </rPh>
    <rPh sb="7" eb="9">
      <t>ゲンセン</t>
    </rPh>
    <rPh sb="9" eb="11">
      <t>チョウシュウ</t>
    </rPh>
    <rPh sb="11" eb="13">
      <t>ゼイガク</t>
    </rPh>
    <phoneticPr fontId="19"/>
  </si>
  <si>
    <t>有</t>
    <rPh sb="0" eb="1">
      <t>ア</t>
    </rPh>
    <phoneticPr fontId="19"/>
  </si>
  <si>
    <t>従有</t>
    <rPh sb="0" eb="1">
      <t>ジュウ</t>
    </rPh>
    <rPh sb="1" eb="2">
      <t>アリ</t>
    </rPh>
    <phoneticPr fontId="19"/>
  </si>
  <si>
    <t>特定扶養</t>
    <rPh sb="0" eb="2">
      <t>トクテイ</t>
    </rPh>
    <rPh sb="2" eb="4">
      <t>フヨウ</t>
    </rPh>
    <phoneticPr fontId="19"/>
  </si>
  <si>
    <t>一般</t>
    <rPh sb="0" eb="2">
      <t>イッパン</t>
    </rPh>
    <phoneticPr fontId="19"/>
  </si>
  <si>
    <t>普通障害</t>
    <rPh sb="0" eb="2">
      <t>フツウ</t>
    </rPh>
    <rPh sb="2" eb="4">
      <t>ショウガイ</t>
    </rPh>
    <phoneticPr fontId="19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</si>
  <si>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9"/>
  </si>
  <si>
    <t>内小規模</t>
    <rPh sb="0" eb="1">
      <t>ウチ</t>
    </rPh>
    <rPh sb="1" eb="4">
      <t>ショウキボ</t>
    </rPh>
    <phoneticPr fontId="19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</si>
  <si>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9"/>
  </si>
  <si>
    <t>住宅借入金等特別
控除区分（１回目）</t>
    <rPh sb="0" eb="2">
      <t>ジュウタク</t>
    </rPh>
    <rPh sb="2" eb="3">
      <t>シャク</t>
    </rPh>
    <rPh sb="3" eb="5">
      <t>ニュウキン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9"/>
  </si>
  <si>
    <t>死亡退職</t>
    <rPh sb="0" eb="2">
      <t>シボウ</t>
    </rPh>
    <rPh sb="2" eb="4">
      <t>タイショク</t>
    </rPh>
    <phoneticPr fontId="19"/>
  </si>
  <si>
    <t>住宅借入金等
年末残高（１回目）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9"/>
  </si>
  <si>
    <t>居住開始年月日
（２　回　目）</t>
    <rPh sb="0" eb="2">
      <t>キョジュウ</t>
    </rPh>
    <rPh sb="2" eb="4">
      <t>カイシ</t>
    </rPh>
    <rPh sb="4" eb="7">
      <t>ネンガッピ</t>
    </rPh>
    <rPh sb="11" eb="12">
      <t>カイ</t>
    </rPh>
    <rPh sb="13" eb="14">
      <t>メ</t>
    </rPh>
    <phoneticPr fontId="19"/>
  </si>
  <si>
    <t>入力所得</t>
    <rPh sb="0" eb="2">
      <t>ニュウリョク</t>
    </rPh>
    <rPh sb="2" eb="4">
      <t>ショトク</t>
    </rPh>
    <phoneticPr fontId="19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</si>
  <si>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9"/>
  </si>
  <si>
    <t>計算式</t>
    <rPh sb="0" eb="2">
      <t>ケイサン</t>
    </rPh>
    <rPh sb="2" eb="3">
      <t>シキ</t>
    </rPh>
    <phoneticPr fontId="19"/>
  </si>
  <si>
    <t>生命保険料の控除額</t>
  </si>
  <si>
    <t>未成年</t>
    <rPh sb="0" eb="1">
      <t>ミ</t>
    </rPh>
    <rPh sb="1" eb="3">
      <t>セイネン</t>
    </rPh>
    <phoneticPr fontId="19"/>
  </si>
  <si>
    <t>災害者</t>
    <rPh sb="0" eb="2">
      <t>サイガイ</t>
    </rPh>
    <rPh sb="2" eb="3">
      <t>モノ</t>
    </rPh>
    <phoneticPr fontId="19"/>
  </si>
  <si>
    <t>乙欄</t>
    <rPh sb="0" eb="1">
      <t>オツ</t>
    </rPh>
    <rPh sb="1" eb="2">
      <t>ラン</t>
    </rPh>
    <phoneticPr fontId="19"/>
  </si>
  <si>
    <t>本人が障害者</t>
    <rPh sb="0" eb="2">
      <t>ホンニン</t>
    </rPh>
    <rPh sb="3" eb="6">
      <t>ショウガイシャ</t>
    </rPh>
    <phoneticPr fontId="19"/>
  </si>
  <si>
    <t>寡
婦</t>
    <rPh sb="0" eb="1">
      <t>ヤモメ</t>
    </rPh>
    <rPh sb="2" eb="3">
      <t>フ</t>
    </rPh>
    <phoneticPr fontId="19"/>
  </si>
  <si>
    <t>明</t>
    <rPh sb="0" eb="1">
      <t>メイ</t>
    </rPh>
    <phoneticPr fontId="19"/>
  </si>
  <si>
    <t>ひとり
親</t>
    <rPh sb="4" eb="5">
      <t>オヤ</t>
    </rPh>
    <phoneticPr fontId="19"/>
  </si>
  <si>
    <t>控　除　額</t>
  </si>
  <si>
    <t>勤労学生</t>
    <rPh sb="0" eb="2">
      <t>キンロウ</t>
    </rPh>
    <rPh sb="2" eb="4">
      <t>ガクセイ</t>
    </rPh>
    <phoneticPr fontId="19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</si>
  <si>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9"/>
  </si>
  <si>
    <t>受　給　者　生　年　月　日</t>
  </si>
  <si>
    <t>退職</t>
    <rPh sb="0" eb="2">
      <t>タイショク</t>
    </rPh>
    <phoneticPr fontId="19"/>
  </si>
  <si>
    <t>特別</t>
    <rPh sb="0" eb="2">
      <t>トクベツ</t>
    </rPh>
    <phoneticPr fontId="19"/>
  </si>
  <si>
    <t>社会保険料等の金額</t>
  </si>
  <si>
    <t>23%-636000</t>
  </si>
  <si>
    <t>その他扶養　一般</t>
    <rPh sb="2" eb="3">
      <t>タ</t>
    </rPh>
    <rPh sb="3" eb="5">
      <t>フヨウ</t>
    </rPh>
    <rPh sb="6" eb="8">
      <t>イッパン</t>
    </rPh>
    <phoneticPr fontId="19"/>
  </si>
  <si>
    <t>その</t>
  </si>
  <si>
    <t>就職</t>
    <rPh sb="0" eb="2">
      <t>シュウショク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</si>
  <si>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</si>
  <si>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</si>
  <si>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</si>
  <si>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老年者</t>
    <rPh sb="0" eb="3">
      <t>ロウネンシャ</t>
    </rPh>
    <phoneticPr fontId="19"/>
  </si>
  <si>
    <t>配偶者控除</t>
    <rPh sb="0" eb="3">
      <t>ハイグウシャ</t>
    </rPh>
    <rPh sb="3" eb="5">
      <t>コウジョ</t>
    </rPh>
    <phoneticPr fontId="19"/>
  </si>
  <si>
    <t>大</t>
    <rPh sb="0" eb="1">
      <t>ダイ</t>
    </rPh>
    <phoneticPr fontId="19"/>
  </si>
  <si>
    <t>昭</t>
    <rPh sb="0" eb="1">
      <t>アキラ</t>
    </rPh>
    <phoneticPr fontId="19"/>
  </si>
  <si>
    <t>平</t>
    <rPh sb="0" eb="1">
      <t>ヒラ</t>
    </rPh>
    <phoneticPr fontId="19"/>
  </si>
  <si>
    <t>日</t>
    <rPh sb="0" eb="1">
      <t>ヒ</t>
    </rPh>
    <phoneticPr fontId="19"/>
  </si>
  <si>
    <t>市町村提出用</t>
    <rPh sb="0" eb="3">
      <t>シチョウソン</t>
    </rPh>
    <rPh sb="3" eb="5">
      <t>テイシュツ</t>
    </rPh>
    <rPh sb="5" eb="6">
      <t>ヨウ</t>
    </rPh>
    <phoneticPr fontId="19"/>
  </si>
  <si>
    <t>支</t>
    <rPh sb="0" eb="1">
      <t>ササ</t>
    </rPh>
    <phoneticPr fontId="19"/>
  </si>
  <si>
    <t>住所（居所）</t>
    <rPh sb="0" eb="2">
      <t>ジュウショ</t>
    </rPh>
    <rPh sb="3" eb="5">
      <t>キョショ</t>
    </rPh>
    <phoneticPr fontId="19"/>
  </si>
  <si>
    <t>氏名又は</t>
    <rPh sb="0" eb="2">
      <t>シメイ</t>
    </rPh>
    <rPh sb="2" eb="3">
      <t>マタ</t>
    </rPh>
    <phoneticPr fontId="19"/>
  </si>
  <si>
    <t>名称</t>
    <rPh sb="0" eb="2">
      <t>メイショウ</t>
    </rPh>
    <phoneticPr fontId="19"/>
  </si>
  <si>
    <t>（電話）</t>
    <rPh sb="1" eb="3">
      <t>デンワ</t>
    </rPh>
    <phoneticPr fontId="19"/>
  </si>
  <si>
    <t>者</t>
    <rPh sb="0" eb="1">
      <t>シャ</t>
    </rPh>
    <phoneticPr fontId="19"/>
  </si>
  <si>
    <t>1000超</t>
    <rPh sb="4" eb="5">
      <t>チョウ</t>
    </rPh>
    <phoneticPr fontId="19"/>
  </si>
  <si>
    <t>年分</t>
    <rPh sb="0" eb="2">
      <t>ネンブン</t>
    </rPh>
    <phoneticPr fontId="19"/>
  </si>
  <si>
    <t>調整前所得</t>
    <rPh sb="0" eb="2">
      <t>チョウセイ</t>
    </rPh>
    <rPh sb="2" eb="3">
      <t>マエ</t>
    </rPh>
    <rPh sb="3" eb="5">
      <t>ショトク</t>
    </rPh>
    <phoneticPr fontId="19"/>
  </si>
  <si>
    <t>その他所得</t>
  </si>
  <si>
    <t>給　与　収　入</t>
    <rPh sb="0" eb="1">
      <t>キュウ</t>
    </rPh>
    <rPh sb="2" eb="3">
      <t>クミ</t>
    </rPh>
    <rPh sb="4" eb="5">
      <t>オサム</t>
    </rPh>
    <rPh sb="6" eb="7">
      <t>イ</t>
    </rPh>
    <phoneticPr fontId="19"/>
  </si>
  <si>
    <t>～900</t>
  </si>
  <si>
    <t>給与収入計</t>
    <rPh sb="0" eb="2">
      <t>キュウヨ</t>
    </rPh>
    <rPh sb="2" eb="4">
      <t>シュウニュウ</t>
    </rPh>
    <rPh sb="4" eb="5">
      <t>ケイ</t>
    </rPh>
    <phoneticPr fontId="19"/>
  </si>
  <si>
    <t>所得控除後の金額</t>
  </si>
  <si>
    <t>控除の額の合計</t>
    <rPh sb="0" eb="2">
      <t>コウジョ</t>
    </rPh>
    <rPh sb="3" eb="4">
      <t>ガク</t>
    </rPh>
    <rPh sb="5" eb="7">
      <t>ゴウケイ</t>
    </rPh>
    <phoneticPr fontId="19"/>
  </si>
  <si>
    <t>給与収入</t>
    <rPh sb="0" eb="2">
      <t>キュウヨ</t>
    </rPh>
    <rPh sb="2" eb="4">
      <t>シュウニュウ</t>
    </rPh>
    <phoneticPr fontId="19"/>
  </si>
  <si>
    <t>算出額</t>
    <rPh sb="0" eb="2">
      <t>サンシュツ</t>
    </rPh>
    <rPh sb="2" eb="3">
      <t>ガク</t>
    </rPh>
    <phoneticPr fontId="19"/>
  </si>
  <si>
    <t>控除対象配偶者に当たる</t>
    <rPh sb="0" eb="2">
      <t>コウジョ</t>
    </rPh>
    <rPh sb="2" eb="4">
      <t>タイショウ</t>
    </rPh>
    <rPh sb="4" eb="7">
      <t>ハイグウシャ</t>
    </rPh>
    <rPh sb="8" eb="9">
      <t>ア</t>
    </rPh>
    <phoneticPr fontId="19"/>
  </si>
  <si>
    <t>控除対象配偶者に当たらない</t>
    <rPh sb="0" eb="2">
      <t>コウジョ</t>
    </rPh>
    <rPh sb="2" eb="4">
      <t>タイショウ</t>
    </rPh>
    <rPh sb="4" eb="7">
      <t>ハイグウシャ</t>
    </rPh>
    <rPh sb="8" eb="9">
      <t>ア</t>
    </rPh>
    <phoneticPr fontId="19"/>
  </si>
  <si>
    <t>所得者の合計所得</t>
    <rPh sb="0" eb="2">
      <t>ショトク</t>
    </rPh>
    <rPh sb="2" eb="3">
      <t>シャ</t>
    </rPh>
    <rPh sb="4" eb="6">
      <t>ゴウケイ</t>
    </rPh>
    <rPh sb="6" eb="8">
      <t>ショトク</t>
    </rPh>
    <phoneticPr fontId="19"/>
  </si>
  <si>
    <t>配偶者の合計所得</t>
    <rPh sb="0" eb="3">
      <t>ハイグウシャ</t>
    </rPh>
    <rPh sb="4" eb="6">
      <t>ゴウケイ</t>
    </rPh>
    <rPh sb="6" eb="8">
      <t>ショトク</t>
    </rPh>
    <phoneticPr fontId="19"/>
  </si>
  <si>
    <t>～950</t>
  </si>
  <si>
    <t>～1000</t>
  </si>
  <si>
    <t>課税標準額</t>
    <rPh sb="0" eb="2">
      <t>カゼイ</t>
    </rPh>
    <rPh sb="2" eb="4">
      <t>ヒョウジュン</t>
    </rPh>
    <rPh sb="4" eb="5">
      <t>ガク</t>
    </rPh>
    <phoneticPr fontId="19"/>
  </si>
  <si>
    <t>所得金額調整控除（子育て・介護世帯）</t>
    <rPh sb="0" eb="2">
      <t>ショトク</t>
    </rPh>
    <rPh sb="2" eb="4">
      <t>キンガク</t>
    </rPh>
    <rPh sb="4" eb="6">
      <t>チョウセイ</t>
    </rPh>
    <rPh sb="6" eb="8">
      <t>コウジョ</t>
    </rPh>
    <rPh sb="9" eb="11">
      <t>コソダ</t>
    </rPh>
    <rPh sb="13" eb="15">
      <t>カイゴ</t>
    </rPh>
    <rPh sb="15" eb="17">
      <t>セタイ</t>
    </rPh>
    <phoneticPr fontId="19"/>
  </si>
  <si>
    <t>復興特別所得税</t>
    <rPh sb="0" eb="2">
      <t>フッコウ</t>
    </rPh>
    <rPh sb="2" eb="4">
      <t>トクベツ</t>
    </rPh>
    <rPh sb="4" eb="7">
      <t>ショトクゼイ</t>
    </rPh>
    <phoneticPr fontId="19"/>
  </si>
  <si>
    <t>(老人)</t>
    <rPh sb="1" eb="3">
      <t>ロウジン</t>
    </rPh>
    <phoneticPr fontId="19"/>
  </si>
  <si>
    <t>介護</t>
    <rPh sb="0" eb="2">
      <t>カイゴ</t>
    </rPh>
    <phoneticPr fontId="19"/>
  </si>
  <si>
    <t>配偶者特別控除</t>
    <rPh sb="0" eb="3">
      <t>ハイグウシャ</t>
    </rPh>
    <rPh sb="3" eb="5">
      <t>トクベツ</t>
    </rPh>
    <rPh sb="5" eb="7">
      <t>コウジョ</t>
    </rPh>
    <phoneticPr fontId="19"/>
  </si>
  <si>
    <t>所得税及び復興特別所得税の額</t>
    <rPh sb="0" eb="3">
      <t>ショトクゼイ</t>
    </rPh>
    <rPh sb="3" eb="4">
      <t>オヨ</t>
    </rPh>
    <rPh sb="5" eb="7">
      <t>フッコウ</t>
    </rPh>
    <rPh sb="7" eb="9">
      <t>トクベツ</t>
    </rPh>
    <rPh sb="9" eb="12">
      <t>ショトクゼイ</t>
    </rPh>
    <rPh sb="13" eb="14">
      <t>ガク</t>
    </rPh>
    <phoneticPr fontId="19"/>
  </si>
  <si>
    <t>所得税額（復興前）</t>
    <rPh sb="0" eb="3">
      <t>ショトクゼイ</t>
    </rPh>
    <rPh sb="3" eb="4">
      <t>ガク</t>
    </rPh>
    <rPh sb="5" eb="7">
      <t>フッコウ</t>
    </rPh>
    <rPh sb="7" eb="8">
      <t>マエ</t>
    </rPh>
    <phoneticPr fontId="19"/>
  </si>
  <si>
    <t>（同居）</t>
    <rPh sb="1" eb="3">
      <t>ドウキョ</t>
    </rPh>
    <phoneticPr fontId="19"/>
  </si>
  <si>
    <t>定額減税額</t>
    <rPh sb="0" eb="2">
      <t>テイガク</t>
    </rPh>
    <rPh sb="2" eb="4">
      <t>ゲンゼイ</t>
    </rPh>
    <rPh sb="4" eb="5">
      <t>ガク</t>
    </rPh>
    <phoneticPr fontId="19"/>
  </si>
  <si>
    <t>A/4*2.8-80,000</t>
  </si>
  <si>
    <t>老人扶養</t>
    <rPh sb="0" eb="2">
      <t>ロウジン</t>
    </rPh>
    <rPh sb="2" eb="4">
      <t>フヨウ</t>
    </rPh>
    <phoneticPr fontId="19"/>
  </si>
  <si>
    <t>A*0.9-1,100,000</t>
  </si>
  <si>
    <t>その他扶養　16-18</t>
    <rPh sb="3" eb="5">
      <t>フヨウ</t>
    </rPh>
    <phoneticPr fontId="19"/>
  </si>
  <si>
    <t>住宅借入金等特別控除</t>
  </si>
  <si>
    <t>A-1,950,000</t>
  </si>
  <si>
    <t>障害特別</t>
    <rPh sb="0" eb="2">
      <t>ショウガイ</t>
    </rPh>
    <rPh sb="2" eb="4">
      <t>トクベツ</t>
    </rPh>
    <phoneticPr fontId="19"/>
  </si>
  <si>
    <t>新生命保険料金額</t>
    <rPh sb="0" eb="1">
      <t>シン</t>
    </rPh>
    <rPh sb="1" eb="3">
      <t>セイメイ</t>
    </rPh>
    <rPh sb="3" eb="6">
      <t>ホケンリョウ</t>
    </rPh>
    <rPh sb="6" eb="8">
      <t>キンガク</t>
    </rPh>
    <phoneticPr fontId="19"/>
  </si>
  <si>
    <t>旧生命保険料金額</t>
    <rPh sb="0" eb="1">
      <t>キュウ</t>
    </rPh>
    <rPh sb="1" eb="3">
      <t>セイメイ</t>
    </rPh>
    <rPh sb="3" eb="6">
      <t>ホケンリョウ</t>
    </rPh>
    <rPh sb="6" eb="8">
      <t>キンガク</t>
    </rPh>
    <phoneticPr fontId="19"/>
  </si>
  <si>
    <t>（普通）</t>
    <rPh sb="1" eb="3">
      <t>フツウ</t>
    </rPh>
    <phoneticPr fontId="19"/>
  </si>
  <si>
    <t>所得税税率</t>
    <rPh sb="0" eb="3">
      <t>ショトクゼイ</t>
    </rPh>
    <rPh sb="3" eb="5">
      <t>ゼイリツ</t>
    </rPh>
    <phoneticPr fontId="19"/>
  </si>
  <si>
    <t>E</t>
  </si>
  <si>
    <t>社会保険料</t>
    <rPh sb="0" eb="2">
      <t>シャカイ</t>
    </rPh>
    <rPh sb="2" eb="5">
      <t>ホケンリョウ</t>
    </rPh>
    <phoneticPr fontId="19"/>
  </si>
  <si>
    <t>新個人年金保険料の金額</t>
    <rPh sb="0" eb="1">
      <t>シン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19"/>
  </si>
  <si>
    <t>（小規模企業共済）</t>
    <rPh sb="1" eb="4">
      <t>ショウキボ</t>
    </rPh>
    <rPh sb="4" eb="6">
      <t>キギョウ</t>
    </rPh>
    <rPh sb="6" eb="8">
      <t>キョウサイ</t>
    </rPh>
    <phoneticPr fontId="19"/>
  </si>
  <si>
    <t>←上記の内数</t>
    <rPh sb="1" eb="3">
      <t>ジョウキ</t>
    </rPh>
    <rPh sb="4" eb="5">
      <t>ウチ</t>
    </rPh>
    <rPh sb="5" eb="6">
      <t>スウ</t>
    </rPh>
    <phoneticPr fontId="19"/>
  </si>
  <si>
    <t>R6分定額減税対応</t>
    <rPh sb="2" eb="3">
      <t>ブン</t>
    </rPh>
    <rPh sb="3" eb="5">
      <t>テイガク</t>
    </rPh>
    <rPh sb="5" eb="7">
      <t>ゲンゼイ</t>
    </rPh>
    <rPh sb="7" eb="9">
      <t>タイオウ</t>
    </rPh>
    <phoneticPr fontId="19"/>
  </si>
  <si>
    <t>10%-97500</t>
  </si>
  <si>
    <t>生命保険料控除</t>
    <rPh sb="0" eb="2">
      <t>セイメイ</t>
    </rPh>
    <rPh sb="2" eb="4">
      <t>ホケン</t>
    </rPh>
    <rPh sb="4" eb="5">
      <t>リョウ</t>
    </rPh>
    <rPh sb="5" eb="7">
      <t>コウジョ</t>
    </rPh>
    <phoneticPr fontId="19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</si>
  <si>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19"/>
  </si>
  <si>
    <t>20%-427500</t>
  </si>
  <si>
    <t>地震保険料控除</t>
    <rPh sb="0" eb="2">
      <t>ジシン</t>
    </rPh>
    <rPh sb="2" eb="4">
      <t>ホケン</t>
    </rPh>
    <rPh sb="4" eb="5">
      <t>リョウ</t>
    </rPh>
    <rPh sb="5" eb="7">
      <t>コウジョ</t>
    </rPh>
    <phoneticPr fontId="19"/>
  </si>
  <si>
    <t>E＊0.25＋20,000</t>
  </si>
  <si>
    <t>医療費控除</t>
    <rPh sb="0" eb="3">
      <t>イリョウヒ</t>
    </rPh>
    <rPh sb="3" eb="5">
      <t>コウジョ</t>
    </rPh>
    <phoneticPr fontId="19"/>
  </si>
  <si>
    <t>33%-1536000</t>
  </si>
  <si>
    <t>地震</t>
    <rPh sb="0" eb="2">
      <t>ジシン</t>
    </rPh>
    <phoneticPr fontId="19"/>
  </si>
  <si>
    <t>B</t>
  </si>
  <si>
    <t>控除外額</t>
    <rPh sb="0" eb="2">
      <t>コウジョ</t>
    </rPh>
    <rPh sb="2" eb="3">
      <t>ガイ</t>
    </rPh>
    <rPh sb="3" eb="4">
      <t>ガク</t>
    </rPh>
    <phoneticPr fontId="19"/>
  </si>
  <si>
    <t>住宅特別控除（税額控除）</t>
    <rPh sb="0" eb="2">
      <t>ジュウタク</t>
    </rPh>
    <rPh sb="2" eb="4">
      <t>トクベツ</t>
    </rPh>
    <rPh sb="4" eb="6">
      <t>コウジョ</t>
    </rPh>
    <rPh sb="7" eb="9">
      <t>ゼイガク</t>
    </rPh>
    <rPh sb="9" eb="11">
      <t>コウジョ</t>
    </rPh>
    <phoneticPr fontId="19"/>
  </si>
  <si>
    <t>旧長期損害保険料の金額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1">
      <t>キンガク</t>
    </rPh>
    <phoneticPr fontId="19"/>
  </si>
  <si>
    <t>D</t>
  </si>
  <si>
    <t>本人該当控除</t>
    <rPh sb="0" eb="2">
      <t>ホンニン</t>
    </rPh>
    <rPh sb="2" eb="4">
      <t>ガイトウ</t>
    </rPh>
    <rPh sb="4" eb="6">
      <t>コウジョ</t>
    </rPh>
    <phoneticPr fontId="19"/>
  </si>
  <si>
    <t>A</t>
  </si>
  <si>
    <t>A＊0.5＋12,500</t>
  </si>
  <si>
    <t>ひとり親</t>
    <rPh sb="3" eb="4">
      <t>オヤ</t>
    </rPh>
    <phoneticPr fontId="19"/>
  </si>
  <si>
    <t>以上</t>
    <rPh sb="0" eb="2">
      <t>イジョウ</t>
    </rPh>
    <phoneticPr fontId="19"/>
  </si>
  <si>
    <t>旧個人</t>
    <rPh sb="0" eb="1">
      <t>キュウ</t>
    </rPh>
    <rPh sb="1" eb="3">
      <t>コジン</t>
    </rPh>
    <phoneticPr fontId="19"/>
  </si>
  <si>
    <t>基礎控除</t>
    <rPh sb="0" eb="2">
      <t>キソ</t>
    </rPh>
    <rPh sb="2" eb="4">
      <t>コウジョ</t>
    </rPh>
    <phoneticPr fontId="19"/>
  </si>
  <si>
    <t>控除額計</t>
    <rPh sb="0" eb="2">
      <t>コウジョ</t>
    </rPh>
    <rPh sb="2" eb="3">
      <t>ガク</t>
    </rPh>
    <rPh sb="3" eb="4">
      <t>ケイ</t>
    </rPh>
    <phoneticPr fontId="19"/>
  </si>
  <si>
    <t>新生命</t>
    <rPh sb="0" eb="1">
      <t>シン</t>
    </rPh>
    <rPh sb="1" eb="3">
      <t>セイメイ</t>
    </rPh>
    <phoneticPr fontId="19"/>
  </si>
  <si>
    <t>C</t>
  </si>
  <si>
    <t>16歳未満扶養親族</t>
    <rPh sb="2" eb="3">
      <t>サイ</t>
    </rPh>
    <rPh sb="3" eb="5">
      <t>ミマン</t>
    </rPh>
    <rPh sb="5" eb="7">
      <t>フヨウ</t>
    </rPh>
    <rPh sb="7" eb="9">
      <t>シンゾク</t>
    </rPh>
    <phoneticPr fontId="19"/>
  </si>
  <si>
    <t>C＊0.5＋10,000</t>
  </si>
  <si>
    <t>新個人</t>
    <rPh sb="0" eb="1">
      <t>シン</t>
    </rPh>
    <rPh sb="1" eb="3">
      <t>コジン</t>
    </rPh>
    <phoneticPr fontId="19"/>
  </si>
  <si>
    <t>D＊0.5＋10,000</t>
  </si>
  <si>
    <t>損害保険料控除</t>
    <rPh sb="0" eb="2">
      <t>ソンガイ</t>
    </rPh>
    <rPh sb="2" eb="4">
      <t>ホケン</t>
    </rPh>
    <rPh sb="4" eb="5">
      <t>リョウ</t>
    </rPh>
    <rPh sb="5" eb="7">
      <t>コウジョ</t>
    </rPh>
    <phoneticPr fontId="19"/>
  </si>
  <si>
    <t>長期</t>
    <rPh sb="0" eb="2">
      <t>チョウキ</t>
    </rPh>
    <phoneticPr fontId="19"/>
  </si>
  <si>
    <t>A＊0.5＋5,000</t>
  </si>
  <si>
    <t>B*0.5</t>
  </si>
  <si>
    <t>B＊0.5＋1,000</t>
  </si>
  <si>
    <t>減税後所得税額</t>
    <rPh sb="0" eb="2">
      <t>ゲンゼイ</t>
    </rPh>
    <rPh sb="2" eb="3">
      <t>ゴ</t>
    </rPh>
    <rPh sb="3" eb="6">
      <t>ショトクゼイ</t>
    </rPh>
    <rPh sb="6" eb="7">
      <t>ガク</t>
    </rPh>
    <phoneticPr fontId="19"/>
  </si>
  <si>
    <t>A-650,000</t>
  </si>
  <si>
    <t>地震保険料の控除額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</si>
  <si>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9"/>
  </si>
  <si>
    <r>
      <t>特定親族の</t>
    </r>
    <r>
      <rPr>
        <b/>
        <u val="double"/>
        <sz val="11"/>
        <color auto="1"/>
        <rFont val="ＭＳ Ｐゴシック"/>
      </rPr>
      <t>所得</t>
    </r>
    <r>
      <rPr>
        <b/>
        <sz val="11"/>
        <color auto="1"/>
        <rFont val="ＭＳ Ｐゴシック"/>
      </rPr>
      <t>→</t>
    </r>
    <rPh sb="0" eb="2">
      <t>トクテイ</t>
    </rPh>
    <rPh sb="2" eb="4">
      <t>シンゾク</t>
    </rPh>
    <rPh sb="5" eb="7">
      <t>ショトク</t>
    </rPh>
    <phoneticPr fontId="19"/>
  </si>
  <si>
    <t>控除額</t>
    <rPh sb="0" eb="2">
      <t>コウジョ</t>
    </rPh>
    <rPh sb="2" eb="3">
      <t>ガク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</si>
</sst>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"/>
    <numFmt numFmtId="177" formatCode="0_);[Red]\(0\)"/>
  </numFmts>
  <fonts count="4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20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sz val="7"/>
      <color auto="1"/>
      <name val="ＭＳ Ｐゴシック"/>
      <family val="3"/>
    </font>
    <font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rgb="FFFF0000"/>
      <name val="ＭＳ Ｐゴシック"/>
      <family val="3"/>
    </font>
    <font>
      <sz val="5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indexed="10"/>
      <name val="ＭＳ Ｐゴシック"/>
      <family val="3"/>
    </font>
    <font>
      <sz val="4"/>
      <color auto="1"/>
      <name val="ＭＳ Ｐゴシック"/>
      <family val="3"/>
    </font>
    <font>
      <b/>
      <sz val="12"/>
      <color auto="1"/>
      <name val="ＭＳ Ｐゴシック"/>
      <family val="3"/>
    </font>
    <font>
      <sz val="48"/>
      <color indexed="10"/>
      <name val="ＭＳ Ｐゴシック"/>
      <family val="3"/>
    </font>
    <font>
      <sz val="16"/>
      <color auto="1"/>
      <name val="ＭＳ Ｐゴシック"/>
      <family val="3"/>
    </font>
    <font>
      <sz val="13"/>
      <color auto="1"/>
      <name val="ＭＳ Ｐゴシック"/>
      <family val="3"/>
    </font>
    <font>
      <b/>
      <sz val="7"/>
      <color indexed="10"/>
      <name val="ＭＳ Ｐゴシック"/>
      <family val="3"/>
    </font>
    <font>
      <b/>
      <sz val="6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0"/>
      <color indexed="10"/>
      <name val="ＭＳ Ｐゴシック"/>
      <family val="3"/>
    </font>
    <font>
      <b/>
      <sz val="10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6"/>
      <color auto="1"/>
      <name val="ＭＳ Ｐゴシック"/>
      <family val="3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rgb="FFFF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60">
    <xf numFmtId="0" fontId="0" fillId="0" borderId="0" xfId="0"/>
    <xf numFmtId="0" fontId="0" fillId="0" borderId="0" xfId="33" applyFont="1" applyProtection="1">
      <alignment vertical="center"/>
    </xf>
    <xf numFmtId="0" fontId="6" fillId="0" borderId="0" xfId="33" applyFont="1" applyBorder="1" applyAlignment="1" applyProtection="1">
      <alignment vertical="center"/>
    </xf>
    <xf numFmtId="0" fontId="6" fillId="0" borderId="10" xfId="33" applyFont="1" applyBorder="1" applyAlignment="1" applyProtection="1">
      <alignment vertical="center"/>
    </xf>
    <xf numFmtId="0" fontId="6" fillId="0" borderId="11" xfId="33" applyFont="1" applyBorder="1" applyProtection="1">
      <alignment vertical="center"/>
    </xf>
    <xf numFmtId="0" fontId="6" fillId="0" borderId="11" xfId="33" applyFont="1" applyBorder="1" applyAlignment="1" applyProtection="1">
      <alignment vertical="center"/>
    </xf>
    <xf numFmtId="0" fontId="20" fillId="0" borderId="0" xfId="33" applyFont="1" applyBorder="1" applyAlignment="1" applyProtection="1">
      <alignment vertical="center"/>
    </xf>
    <xf numFmtId="0" fontId="6" fillId="0" borderId="12" xfId="33" applyFont="1" applyBorder="1" applyAlignment="1" applyProtection="1">
      <alignment vertical="center"/>
    </xf>
    <xf numFmtId="0" fontId="6" fillId="0" borderId="0" xfId="33" applyFont="1" applyBorder="1" applyAlignment="1" applyProtection="1">
      <alignment horizontal="left" vertical="center"/>
    </xf>
    <xf numFmtId="0" fontId="21" fillId="0" borderId="0" xfId="33" applyFont="1" applyBorder="1" applyAlignment="1" applyProtection="1">
      <alignment horizontal="center" vertical="center" textRotation="255"/>
    </xf>
    <xf numFmtId="0" fontId="21" fillId="0" borderId="0" xfId="33" applyFont="1" applyAlignment="1" applyProtection="1">
      <alignment horizontal="center" vertical="center" textRotation="255"/>
    </xf>
    <xf numFmtId="0" fontId="21" fillId="0" borderId="0" xfId="33" applyFont="1" applyBorder="1" applyAlignment="1" applyProtection="1">
      <alignment horizontal="justify" vertical="center"/>
    </xf>
    <xf numFmtId="0" fontId="21" fillId="0" borderId="0" xfId="33" applyFont="1" applyBorder="1" applyAlignment="1" applyProtection="1">
      <alignment horizontal="justify"/>
    </xf>
    <xf numFmtId="0" fontId="20" fillId="0" borderId="0" xfId="33" applyFont="1" applyBorder="1" applyAlignment="1" applyProtection="1">
      <alignment horizontal="center" vertical="center"/>
    </xf>
    <xf numFmtId="0" fontId="20" fillId="0" borderId="13" xfId="33" applyFont="1" applyBorder="1" applyAlignment="1" applyProtection="1">
      <alignment horizontal="center" vertical="center"/>
    </xf>
    <xf numFmtId="0" fontId="22" fillId="0" borderId="14" xfId="33" applyFont="1" applyBorder="1" applyAlignment="1" applyProtection="1">
      <alignment horizontal="center" vertical="center"/>
    </xf>
    <xf numFmtId="0" fontId="22" fillId="0" borderId="15" xfId="33" applyFont="1" applyBorder="1" applyAlignment="1" applyProtection="1">
      <alignment horizontal="center" vertical="center"/>
    </xf>
    <xf numFmtId="0" fontId="22" fillId="0" borderId="16" xfId="33" applyFont="1" applyBorder="1" applyAlignment="1" applyProtection="1">
      <alignment horizontal="center" vertical="center"/>
    </xf>
    <xf numFmtId="0" fontId="21" fillId="0" borderId="17" xfId="33" applyFont="1" applyBorder="1" applyAlignment="1" applyProtection="1">
      <alignment horizontal="center" vertical="center"/>
    </xf>
    <xf numFmtId="0" fontId="23" fillId="0" borderId="14" xfId="33" applyFont="1" applyBorder="1" applyAlignment="1" applyProtection="1">
      <alignment horizontal="center" vertical="center"/>
    </xf>
    <xf numFmtId="0" fontId="23" fillId="0" borderId="15" xfId="33" applyFont="1" applyBorder="1" applyAlignment="1" applyProtection="1">
      <alignment horizontal="center" vertical="center"/>
    </xf>
    <xf numFmtId="0" fontId="23" fillId="0" borderId="16" xfId="33" applyFont="1" applyBorder="1" applyAlignment="1" applyProtection="1">
      <alignment horizontal="center" vertical="center"/>
    </xf>
    <xf numFmtId="0" fontId="24" fillId="0" borderId="14" xfId="33" applyFont="1" applyBorder="1" applyAlignment="1" applyProtection="1">
      <alignment horizontal="distributed" vertical="center"/>
    </xf>
    <xf numFmtId="0" fontId="19" fillId="0" borderId="15" xfId="33" applyFont="1" applyBorder="1" applyAlignment="1" applyProtection="1">
      <alignment horizontal="distributed" vertical="center"/>
    </xf>
    <xf numFmtId="0" fontId="19" fillId="0" borderId="18" xfId="33" applyFont="1" applyBorder="1" applyAlignment="1" applyProtection="1">
      <alignment horizontal="center" vertical="center"/>
    </xf>
    <xf numFmtId="0" fontId="19" fillId="24" borderId="19" xfId="33" applyFont="1" applyFill="1" applyBorder="1" applyAlignment="1" applyProtection="1">
      <alignment horizontal="center" vertical="center"/>
      <protection locked="0"/>
    </xf>
    <xf numFmtId="0" fontId="19" fillId="24" borderId="20" xfId="33" applyFont="1" applyFill="1" applyBorder="1" applyAlignment="1" applyProtection="1">
      <alignment horizontal="center" vertical="center"/>
      <protection locked="0"/>
    </xf>
    <xf numFmtId="0" fontId="25" fillId="0" borderId="21" xfId="33" applyFont="1" applyFill="1" applyBorder="1" applyAlignment="1" applyProtection="1">
      <alignment horizontal="center" vertical="center"/>
    </xf>
    <xf numFmtId="38" fontId="0" fillId="25" borderId="21" xfId="43" applyFont="1" applyFill="1" applyBorder="1" applyAlignment="1" applyProtection="1">
      <alignment horizontal="right" vertical="center"/>
      <protection locked="0"/>
    </xf>
    <xf numFmtId="38" fontId="0" fillId="25" borderId="22" xfId="43" applyFont="1" applyFill="1" applyBorder="1" applyAlignment="1" applyProtection="1">
      <alignment horizontal="right" vertical="center"/>
      <protection locked="0"/>
    </xf>
    <xf numFmtId="0" fontId="26" fillId="26" borderId="23" xfId="33" applyFont="1" applyFill="1" applyBorder="1" applyAlignment="1" applyProtection="1">
      <alignment horizontal="center" vertical="center"/>
    </xf>
    <xf numFmtId="0" fontId="27" fillId="0" borderId="15" xfId="33" applyFont="1" applyBorder="1" applyAlignment="1" applyProtection="1">
      <alignment horizontal="left" vertical="top"/>
    </xf>
    <xf numFmtId="0" fontId="28" fillId="0" borderId="21" xfId="33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/>
    </xf>
    <xf numFmtId="0" fontId="19" fillId="0" borderId="21" xfId="33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/>
    </xf>
    <xf numFmtId="0" fontId="22" fillId="27" borderId="15" xfId="33" applyFont="1" applyFill="1" applyBorder="1" applyAlignment="1" applyProtection="1">
      <alignment horizontal="center" vertical="center"/>
    </xf>
    <xf numFmtId="0" fontId="19" fillId="0" borderId="18" xfId="33" applyFont="1" applyFill="1" applyBorder="1" applyAlignment="1" applyProtection="1">
      <alignment horizontal="center" vertical="center" textRotation="255" wrapText="1"/>
    </xf>
    <xf numFmtId="0" fontId="19" fillId="0" borderId="20" xfId="33" applyFont="1" applyFill="1" applyBorder="1" applyAlignment="1" applyProtection="1">
      <alignment horizontal="center" vertical="center" textRotation="255" wrapText="1"/>
    </xf>
    <xf numFmtId="0" fontId="19" fillId="0" borderId="24" xfId="33" applyFont="1" applyFill="1" applyBorder="1" applyAlignment="1" applyProtection="1">
      <alignment horizontal="center" vertical="center" textRotation="255" wrapText="1"/>
    </xf>
    <xf numFmtId="0" fontId="6" fillId="24" borderId="25" xfId="33" applyFill="1" applyBorder="1" applyAlignment="1" applyProtection="1">
      <alignment horizontal="center" vertical="center"/>
      <protection locked="0"/>
    </xf>
    <xf numFmtId="0" fontId="29" fillId="0" borderId="0" xfId="33" applyFont="1" applyBorder="1" applyAlignment="1" applyProtection="1">
      <alignment horizontal="center" vertical="center"/>
    </xf>
    <xf numFmtId="0" fontId="22" fillId="0" borderId="0" xfId="33" applyFont="1" applyBorder="1" applyAlignment="1" applyProtection="1">
      <alignment horizontal="center" vertical="center"/>
    </xf>
    <xf numFmtId="0" fontId="21" fillId="0" borderId="0" xfId="33" applyFont="1" applyBorder="1" applyAlignment="1" applyProtection="1">
      <alignment horizontal="center" vertical="center"/>
    </xf>
    <xf numFmtId="0" fontId="6" fillId="0" borderId="0" xfId="33" applyFont="1" applyBorder="1" applyAlignment="1" applyProtection="1">
      <alignment horizontal="center" vertical="center"/>
    </xf>
    <xf numFmtId="0" fontId="24" fillId="0" borderId="0" xfId="33" applyFont="1" applyBorder="1" applyAlignment="1" applyProtection="1">
      <alignment horizontal="distributed" vertical="center"/>
    </xf>
    <xf numFmtId="0" fontId="19" fillId="0" borderId="0" xfId="33" applyFont="1" applyBorder="1" applyAlignment="1" applyProtection="1">
      <alignment horizontal="distributed" vertical="center"/>
    </xf>
    <xf numFmtId="0" fontId="19" fillId="0" borderId="0" xfId="33" applyFont="1" applyBorder="1" applyAlignment="1" applyProtection="1">
      <alignment horizontal="center" vertical="center"/>
    </xf>
    <xf numFmtId="0" fontId="22" fillId="0" borderId="26" xfId="33" applyFont="1" applyBorder="1" applyAlignment="1" applyProtection="1">
      <alignment horizontal="center" vertical="center"/>
    </xf>
    <xf numFmtId="0" fontId="22" fillId="0" borderId="13" xfId="33" applyFont="1" applyBorder="1" applyAlignment="1" applyProtection="1">
      <alignment horizontal="center" vertical="center"/>
    </xf>
    <xf numFmtId="0" fontId="21" fillId="0" borderId="27" xfId="33" applyFont="1" applyBorder="1" applyAlignment="1" applyProtection="1">
      <alignment horizontal="center" vertical="center"/>
    </xf>
    <xf numFmtId="0" fontId="23" fillId="0" borderId="26" xfId="33" applyFont="1" applyBorder="1" applyAlignment="1" applyProtection="1">
      <alignment horizontal="center" vertical="center"/>
    </xf>
    <xf numFmtId="0" fontId="23" fillId="0" borderId="0" xfId="33" applyFont="1" applyBorder="1" applyAlignment="1" applyProtection="1">
      <alignment horizontal="center" vertical="center"/>
    </xf>
    <xf numFmtId="0" fontId="23" fillId="0" borderId="13" xfId="33" applyFont="1" applyBorder="1" applyAlignment="1" applyProtection="1">
      <alignment horizontal="center" vertical="center"/>
    </xf>
    <xf numFmtId="0" fontId="24" fillId="0" borderId="26" xfId="33" applyFont="1" applyBorder="1" applyAlignment="1" applyProtection="1">
      <alignment horizontal="distributed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7" fillId="0" borderId="0" xfId="33" applyFont="1" applyBorder="1" applyAlignment="1" applyProtection="1">
      <alignment horizontal="left" vertical="top"/>
    </xf>
    <xf numFmtId="0" fontId="27" fillId="0" borderId="0" xfId="0" applyFont="1" applyAlignment="1" applyProtection="1">
      <alignment horizontal="left" vertical="top"/>
    </xf>
    <xf numFmtId="0" fontId="28" fillId="0" borderId="21" xfId="0" applyFont="1" applyBorder="1" applyAlignment="1" applyProtection="1">
      <alignment horizontal="center" vertical="center"/>
    </xf>
    <xf numFmtId="0" fontId="22" fillId="27" borderId="0" xfId="33" applyFont="1" applyFill="1" applyBorder="1" applyAlignment="1" applyProtection="1">
      <alignment horizontal="center" vertical="center"/>
    </xf>
    <xf numFmtId="0" fontId="19" fillId="0" borderId="28" xfId="33" applyFont="1" applyFill="1" applyBorder="1" applyAlignment="1" applyProtection="1">
      <alignment horizontal="center" vertical="center" textRotation="255" wrapText="1"/>
    </xf>
    <xf numFmtId="0" fontId="19" fillId="0" borderId="30" xfId="33" applyFont="1" applyFill="1" applyBorder="1" applyAlignment="1" applyProtection="1">
      <alignment horizontal="center" vertical="center" textRotation="255" wrapText="1"/>
    </xf>
    <xf numFmtId="0" fontId="19" fillId="0" borderId="31" xfId="33" applyFont="1" applyFill="1" applyBorder="1" applyAlignment="1" applyProtection="1">
      <alignment horizontal="center" vertical="center" textRotation="255" wrapText="1"/>
    </xf>
    <xf numFmtId="0" fontId="6" fillId="24" borderId="32" xfId="33" applyFill="1" applyBorder="1" applyAlignment="1" applyProtection="1">
      <alignment horizontal="center" vertical="center"/>
      <protection locked="0"/>
    </xf>
    <xf numFmtId="0" fontId="22" fillId="0" borderId="33" xfId="33" applyFont="1" applyBorder="1" applyAlignment="1" applyProtection="1">
      <alignment horizontal="center" vertical="center"/>
    </xf>
    <xf numFmtId="0" fontId="22" fillId="0" borderId="34" xfId="33" applyFont="1" applyBorder="1" applyAlignment="1" applyProtection="1">
      <alignment horizontal="center" vertical="center"/>
    </xf>
    <xf numFmtId="0" fontId="22" fillId="0" borderId="35" xfId="33" applyFont="1" applyBorder="1" applyAlignment="1" applyProtection="1">
      <alignment horizontal="center" vertical="center"/>
    </xf>
    <xf numFmtId="0" fontId="19" fillId="0" borderId="19" xfId="33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30" fillId="27" borderId="0" xfId="33" applyFont="1" applyFill="1" applyBorder="1" applyAlignment="1" applyProtection="1">
      <alignment vertical="center"/>
    </xf>
    <xf numFmtId="0" fontId="19" fillId="0" borderId="19" xfId="33" applyFont="1" applyFill="1" applyBorder="1" applyAlignment="1" applyProtection="1">
      <alignment horizontal="center" vertical="center" textRotation="255"/>
    </xf>
    <xf numFmtId="0" fontId="0" fillId="0" borderId="20" xfId="0" applyBorder="1" applyAlignment="1" applyProtection="1">
      <alignment horizontal="center" vertical="center" textRotation="255"/>
    </xf>
    <xf numFmtId="0" fontId="0" fillId="0" borderId="24" xfId="0" applyBorder="1" applyAlignment="1" applyProtection="1">
      <alignment horizontal="center" vertical="center" textRotation="255"/>
    </xf>
    <xf numFmtId="0" fontId="6" fillId="0" borderId="36" xfId="33" applyFill="1" applyBorder="1" applyAlignment="1" applyProtection="1">
      <alignment horizontal="center" vertical="center"/>
    </xf>
    <xf numFmtId="0" fontId="21" fillId="0" borderId="15" xfId="33" applyFont="1" applyBorder="1" applyAlignment="1" applyProtection="1">
      <alignment horizontal="distributed" vertical="center"/>
    </xf>
    <xf numFmtId="0" fontId="21" fillId="0" borderId="16" xfId="33" applyFont="1" applyBorder="1" applyAlignment="1" applyProtection="1">
      <alignment horizontal="distributed" vertical="center"/>
    </xf>
    <xf numFmtId="0" fontId="21" fillId="0" borderId="14" xfId="33" applyFont="1" applyBorder="1" applyAlignment="1" applyProtection="1">
      <alignment horizontal="distributed" vertical="center"/>
    </xf>
    <xf numFmtId="0" fontId="31" fillId="0" borderId="0" xfId="33" applyFont="1" applyBorder="1" applyAlignment="1" applyProtection="1">
      <alignment horizontal="center" vertical="center"/>
    </xf>
    <xf numFmtId="0" fontId="21" fillId="0" borderId="0" xfId="33" applyFont="1" applyBorder="1" applyAlignment="1" applyProtection="1">
      <alignment horizontal="distributed" vertical="center"/>
    </xf>
    <xf numFmtId="0" fontId="22" fillId="0" borderId="17" xfId="33" applyFont="1" applyBorder="1" applyAlignment="1" applyProtection="1">
      <alignment horizontal="center" vertical="center"/>
    </xf>
    <xf numFmtId="0" fontId="19" fillId="0" borderId="33" xfId="33" applyFont="1" applyBorder="1" applyAlignment="1" applyProtection="1">
      <alignment horizontal="distributed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9" fillId="0" borderId="22" xfId="0" applyFont="1" applyBorder="1" applyAlignment="1" applyProtection="1">
      <alignment horizontal="center" vertical="center"/>
    </xf>
    <xf numFmtId="0" fontId="19" fillId="0" borderId="35" xfId="33" applyFont="1" applyFill="1" applyBorder="1" applyAlignment="1" applyProtection="1">
      <alignment horizontal="center" vertical="center" textRotation="255"/>
    </xf>
    <xf numFmtId="0" fontId="0" fillId="0" borderId="33" xfId="0" applyBorder="1" applyAlignment="1" applyProtection="1">
      <alignment horizontal="center" vertical="center" textRotation="255"/>
    </xf>
    <xf numFmtId="0" fontId="0" fillId="0" borderId="34" xfId="0" applyBorder="1" applyAlignment="1" applyProtection="1">
      <alignment horizontal="center" vertical="center" textRotation="255"/>
    </xf>
    <xf numFmtId="0" fontId="6" fillId="0" borderId="37" xfId="33" applyFill="1" applyBorder="1" applyAlignment="1" applyProtection="1">
      <alignment horizontal="center" vertical="center"/>
    </xf>
    <xf numFmtId="0" fontId="21" fillId="0" borderId="13" xfId="33" applyFont="1" applyBorder="1" applyAlignment="1" applyProtection="1">
      <alignment horizontal="distributed" vertical="center"/>
    </xf>
    <xf numFmtId="0" fontId="21" fillId="0" borderId="26" xfId="33" applyFont="1" applyBorder="1" applyAlignment="1" applyProtection="1">
      <alignment horizontal="distributed" vertical="center"/>
    </xf>
    <xf numFmtId="0" fontId="32" fillId="0" borderId="13" xfId="33" applyFont="1" applyBorder="1" applyAlignment="1" applyProtection="1">
      <alignment horizontal="distributed" vertical="center"/>
    </xf>
    <xf numFmtId="0" fontId="22" fillId="0" borderId="27" xfId="33" applyFont="1" applyBorder="1" applyAlignment="1" applyProtection="1">
      <alignment horizontal="center" vertical="center"/>
    </xf>
    <xf numFmtId="0" fontId="19" fillId="0" borderId="13" xfId="33" applyFont="1" applyBorder="1" applyAlignment="1" applyProtection="1">
      <alignment horizontal="center" vertical="center"/>
    </xf>
    <xf numFmtId="0" fontId="19" fillId="0" borderId="14" xfId="33" applyFont="1" applyBorder="1" applyAlignment="1" applyProtection="1">
      <alignment horizontal="center" vertical="center"/>
    </xf>
    <xf numFmtId="0" fontId="19" fillId="25" borderId="18" xfId="33" applyFont="1" applyFill="1" applyBorder="1" applyAlignment="1" applyProtection="1">
      <alignment horizontal="center" vertical="center"/>
      <protection locked="0"/>
    </xf>
    <xf numFmtId="0" fontId="19" fillId="25" borderId="20" xfId="33" applyFont="1" applyFill="1" applyBorder="1" applyAlignment="1" applyProtection="1">
      <alignment horizontal="center" vertical="center"/>
      <protection locked="0"/>
    </xf>
    <xf numFmtId="0" fontId="19" fillId="0" borderId="14" xfId="33" applyFont="1" applyFill="1" applyBorder="1" applyAlignment="1" applyProtection="1">
      <alignment horizontal="center" vertical="center" textRotation="255" shrinkToFit="1"/>
    </xf>
    <xf numFmtId="0" fontId="19" fillId="0" borderId="15" xfId="0" applyFont="1" applyBorder="1" applyAlignment="1" applyProtection="1">
      <alignment horizontal="center" vertical="center" textRotation="255" shrinkToFit="1"/>
    </xf>
    <xf numFmtId="0" fontId="19" fillId="0" borderId="16" xfId="0" applyFont="1" applyBorder="1" applyAlignment="1" applyProtection="1">
      <alignment horizontal="center" vertical="center" textRotation="255" shrinkToFit="1"/>
    </xf>
    <xf numFmtId="0" fontId="6" fillId="0" borderId="27" xfId="33" applyFill="1" applyBorder="1" applyAlignment="1" applyProtection="1">
      <alignment horizontal="center" vertical="center"/>
    </xf>
    <xf numFmtId="0" fontId="32" fillId="0" borderId="0" xfId="33" applyFont="1" applyBorder="1" applyAlignment="1" applyProtection="1">
      <alignment horizontal="distributed" vertical="center"/>
    </xf>
    <xf numFmtId="0" fontId="25" fillId="0" borderId="0" xfId="33" applyFont="1" applyBorder="1" applyAlignment="1" applyProtection="1">
      <alignment horizontal="center" vertical="center"/>
    </xf>
    <xf numFmtId="0" fontId="24" fillId="0" borderId="0" xfId="33" applyFont="1" applyBorder="1" applyAlignment="1" applyProtection="1">
      <alignment horizontal="center" vertical="center"/>
    </xf>
    <xf numFmtId="0" fontId="22" fillId="0" borderId="37" xfId="33" applyFont="1" applyBorder="1" applyAlignment="1" applyProtection="1">
      <alignment horizontal="center" vertical="center"/>
    </xf>
    <xf numFmtId="0" fontId="33" fillId="0" borderId="14" xfId="33" applyFont="1" applyBorder="1" applyAlignment="1" applyProtection="1">
      <alignment horizontal="center" vertical="center" shrinkToFit="1"/>
    </xf>
    <xf numFmtId="0" fontId="33" fillId="0" borderId="15" xfId="33" applyFont="1" applyBorder="1" applyAlignment="1" applyProtection="1">
      <alignment horizontal="center" vertical="center" shrinkToFit="1"/>
    </xf>
    <xf numFmtId="0" fontId="33" fillId="0" borderId="16" xfId="33" applyFont="1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distributed" vertical="center"/>
    </xf>
    <xf numFmtId="0" fontId="25" fillId="0" borderId="0" xfId="33" applyFont="1" applyBorder="1" applyAlignment="1" applyProtection="1">
      <alignment horizontal="distributed" vertical="center" wrapText="1"/>
    </xf>
    <xf numFmtId="0" fontId="0" fillId="0" borderId="35" xfId="0" applyBorder="1" applyAlignment="1" applyProtection="1">
      <alignment vertical="center"/>
    </xf>
    <xf numFmtId="0" fontId="19" fillId="25" borderId="28" xfId="33" applyFont="1" applyFill="1" applyBorder="1" applyAlignment="1" applyProtection="1">
      <alignment horizontal="center" vertical="center"/>
      <protection locked="0"/>
    </xf>
    <xf numFmtId="0" fontId="19" fillId="25" borderId="30" xfId="33" applyFont="1" applyFill="1" applyBorder="1" applyAlignment="1" applyProtection="1">
      <alignment horizontal="center" vertical="center"/>
      <protection locked="0"/>
    </xf>
    <xf numFmtId="0" fontId="6" fillId="27" borderId="0" xfId="33" applyFont="1" applyFill="1" applyBorder="1" applyAlignment="1" applyProtection="1">
      <alignment horizontal="center" vertical="center"/>
    </xf>
    <xf numFmtId="0" fontId="19" fillId="0" borderId="35" xfId="33" applyFont="1" applyFill="1" applyBorder="1" applyAlignment="1" applyProtection="1">
      <alignment horizontal="center" vertical="center" textRotation="255" shrinkToFit="1"/>
    </xf>
    <xf numFmtId="0" fontId="19" fillId="0" borderId="33" xfId="0" applyFont="1" applyBorder="1" applyAlignment="1" applyProtection="1">
      <alignment horizontal="center" vertical="center" textRotation="255" shrinkToFit="1"/>
    </xf>
    <xf numFmtId="0" fontId="19" fillId="0" borderId="34" xfId="0" applyFont="1" applyBorder="1" applyAlignment="1" applyProtection="1">
      <alignment horizontal="center" vertical="center" textRotation="255" shrinkToFit="1"/>
    </xf>
    <xf numFmtId="0" fontId="25" fillId="0" borderId="0" xfId="33" applyFont="1" applyBorder="1" applyAlignment="1" applyProtection="1">
      <alignment horizontal="distributed"/>
    </xf>
    <xf numFmtId="0" fontId="25" fillId="0" borderId="0" xfId="33" applyFont="1" applyBorder="1" applyAlignment="1" applyProtection="1">
      <alignment horizontal="distributed" vertical="center"/>
    </xf>
    <xf numFmtId="0" fontId="6" fillId="0" borderId="0" xfId="33" applyFont="1" applyBorder="1" applyAlignment="1" applyProtection="1">
      <alignment horizontal="distributed" vertical="center"/>
    </xf>
    <xf numFmtId="0" fontId="33" fillId="0" borderId="26" xfId="33" applyFont="1" applyBorder="1" applyAlignment="1" applyProtection="1">
      <alignment horizontal="center" vertical="center" shrinkToFit="1"/>
    </xf>
    <xf numFmtId="0" fontId="33" fillId="0" borderId="0" xfId="33" applyFont="1" applyBorder="1" applyAlignment="1" applyProtection="1">
      <alignment horizontal="center" vertical="center" shrinkToFit="1"/>
    </xf>
    <xf numFmtId="0" fontId="33" fillId="0" borderId="13" xfId="33" applyFont="1" applyBorder="1" applyAlignment="1" applyProtection="1">
      <alignment horizontal="center" vertical="center" shrinkToFit="1"/>
    </xf>
    <xf numFmtId="0" fontId="19" fillId="0" borderId="15" xfId="0" applyFont="1" applyBorder="1" applyAlignment="1" applyProtection="1">
      <alignment horizontal="distributed" vertical="center" wrapText="1"/>
    </xf>
    <xf numFmtId="0" fontId="0" fillId="0" borderId="15" xfId="0" applyBorder="1" applyAlignment="1" applyProtection="1">
      <alignment horizontal="distributed" vertical="center"/>
    </xf>
    <xf numFmtId="38" fontId="0" fillId="0" borderId="19" xfId="0" applyNumberForma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19" fillId="0" borderId="17" xfId="0" applyFont="1" applyBorder="1" applyAlignment="1" applyProtection="1">
      <alignment horizontal="center" vertical="center"/>
    </xf>
    <xf numFmtId="0" fontId="21" fillId="0" borderId="21" xfId="33" applyFont="1" applyFill="1" applyBorder="1" applyAlignment="1" applyProtection="1">
      <alignment horizontal="center" vertical="center" textRotation="255" shrinkToFit="1"/>
    </xf>
    <xf numFmtId="0" fontId="0" fillId="0" borderId="21" xfId="0" applyBorder="1" applyAlignment="1" applyProtection="1">
      <alignment vertical="center" textRotation="255" shrinkToFit="1"/>
    </xf>
    <xf numFmtId="0" fontId="0" fillId="0" borderId="21" xfId="0" applyBorder="1" applyAlignment="1" applyProtection="1">
      <alignment vertical="center"/>
    </xf>
    <xf numFmtId="0" fontId="21" fillId="0" borderId="33" xfId="33" applyFont="1" applyBorder="1" applyAlignment="1" applyProtection="1">
      <alignment horizontal="distributed" vertical="center"/>
    </xf>
    <xf numFmtId="0" fontId="21" fillId="0" borderId="34" xfId="33" applyFont="1" applyBorder="1" applyAlignment="1" applyProtection="1">
      <alignment horizontal="distributed" vertical="center"/>
    </xf>
    <xf numFmtId="0" fontId="21" fillId="0" borderId="35" xfId="33" applyFont="1" applyBorder="1" applyAlignment="1" applyProtection="1">
      <alignment horizontal="distributed" vertical="center"/>
    </xf>
    <xf numFmtId="0" fontId="6" fillId="0" borderId="0" xfId="33" applyFont="1" applyBorder="1" applyAlignment="1" applyProtection="1">
      <alignment horizontal="distributed"/>
    </xf>
    <xf numFmtId="0" fontId="25" fillId="0" borderId="1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38" fontId="0" fillId="25" borderId="18" xfId="43" applyFont="1" applyFill="1" applyBorder="1" applyAlignment="1" applyProtection="1">
      <alignment horizontal="center" vertical="center" shrinkToFit="1"/>
      <protection locked="0"/>
    </xf>
    <xf numFmtId="38" fontId="0" fillId="25" borderId="24" xfId="43" applyFont="1" applyFill="1" applyBorder="1" applyAlignment="1" applyProtection="1">
      <alignment horizontal="center" vertical="center" shrinkToFit="1"/>
      <protection locked="0"/>
    </xf>
    <xf numFmtId="38" fontId="0" fillId="25" borderId="21" xfId="43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 textRotation="255"/>
    </xf>
    <xf numFmtId="0" fontId="22" fillId="0" borderId="14" xfId="33" applyFont="1" applyBorder="1" applyAlignment="1" applyProtection="1">
      <alignment vertical="center"/>
    </xf>
    <xf numFmtId="0" fontId="0" fillId="0" borderId="15" xfId="0" applyBorder="1" applyAlignment="1" applyProtection="1"/>
    <xf numFmtId="0" fontId="0" fillId="0" borderId="16" xfId="0" applyBorder="1" applyAlignment="1" applyProtection="1"/>
    <xf numFmtId="0" fontId="22" fillId="0" borderId="15" xfId="33" applyFont="1" applyBorder="1" applyAlignment="1" applyProtection="1">
      <alignment vertical="center"/>
    </xf>
    <xf numFmtId="0" fontId="21" fillId="0" borderId="16" xfId="33" applyFont="1" applyBorder="1" applyAlignment="1" applyProtection="1">
      <alignment vertical="center"/>
    </xf>
    <xf numFmtId="0" fontId="22" fillId="0" borderId="0" xfId="33" applyFont="1" applyBorder="1" applyAlignment="1" applyProtection="1">
      <alignment vertical="center"/>
    </xf>
    <xf numFmtId="0" fontId="23" fillId="0" borderId="29" xfId="33" applyFont="1" applyBorder="1" applyAlignment="1" applyProtection="1">
      <alignment horizontal="center" vertical="center"/>
    </xf>
    <xf numFmtId="0" fontId="23" fillId="0" borderId="30" xfId="33" applyFont="1" applyBorder="1" applyAlignment="1" applyProtection="1">
      <alignment horizontal="center" vertical="center"/>
    </xf>
    <xf numFmtId="0" fontId="23" fillId="0" borderId="31" xfId="33" applyFont="1" applyBorder="1" applyAlignment="1" applyProtection="1">
      <alignment horizontal="center" vertical="center"/>
    </xf>
    <xf numFmtId="38" fontId="0" fillId="25" borderId="17" xfId="43" applyFont="1" applyFill="1" applyBorder="1" applyAlignment="1" applyProtection="1">
      <alignment horizontal="right" vertical="center"/>
      <protection locked="0"/>
    </xf>
    <xf numFmtId="38" fontId="0" fillId="25" borderId="14" xfId="43" applyFont="1" applyFill="1" applyBorder="1" applyAlignment="1" applyProtection="1">
      <alignment horizontal="right" vertical="center"/>
      <protection locked="0"/>
    </xf>
    <xf numFmtId="38" fontId="0" fillId="25" borderId="23" xfId="43" applyFont="1" applyFill="1" applyBorder="1" applyAlignment="1" applyProtection="1">
      <alignment horizontal="center" vertical="center" shrinkToFit="1"/>
      <protection locked="0"/>
    </xf>
    <xf numFmtId="38" fontId="0" fillId="25" borderId="13" xfId="43" applyFont="1" applyFill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textRotation="255"/>
    </xf>
    <xf numFmtId="0" fontId="0" fillId="0" borderId="17" xfId="0" applyBorder="1" applyAlignment="1" applyProtection="1">
      <alignment vertical="center"/>
    </xf>
    <xf numFmtId="0" fontId="0" fillId="0" borderId="26" xfId="0" applyBorder="1" applyAlignment="1" applyProtection="1"/>
    <xf numFmtId="0" fontId="0" fillId="0" borderId="0" xfId="0" applyBorder="1" applyAlignment="1" applyProtection="1"/>
    <xf numFmtId="0" fontId="0" fillId="0" borderId="13" xfId="0" applyBorder="1" applyAlignment="1" applyProtection="1"/>
    <xf numFmtId="0" fontId="22" fillId="0" borderId="26" xfId="33" applyFont="1" applyBorder="1" applyAlignment="1" applyProtection="1">
      <alignment vertical="center"/>
    </xf>
    <xf numFmtId="0" fontId="21" fillId="0" borderId="22" xfId="33" applyFont="1" applyBorder="1" applyAlignment="1" applyProtection="1">
      <alignment horizontal="center" vertical="center"/>
    </xf>
    <xf numFmtId="38" fontId="34" fillId="24" borderId="18" xfId="33" applyNumberFormat="1" applyFont="1" applyFill="1" applyBorder="1" applyAlignment="1" applyProtection="1">
      <alignment horizontal="right" vertical="center"/>
      <protection locked="0"/>
    </xf>
    <xf numFmtId="0" fontId="34" fillId="24" borderId="20" xfId="33" applyFont="1" applyFill="1" applyBorder="1" applyAlignment="1" applyProtection="1">
      <alignment horizontal="right" vertical="center"/>
      <protection locked="0"/>
    </xf>
    <xf numFmtId="0" fontId="34" fillId="24" borderId="38" xfId="33" applyFont="1" applyFill="1" applyBorder="1" applyAlignment="1" applyProtection="1">
      <alignment horizontal="right" vertical="center"/>
      <protection locked="0"/>
    </xf>
    <xf numFmtId="0" fontId="25" fillId="0" borderId="22" xfId="0" applyFont="1" applyFill="1" applyBorder="1" applyAlignment="1" applyProtection="1">
      <alignment horizontal="center" vertical="center"/>
    </xf>
    <xf numFmtId="38" fontId="19" fillId="26" borderId="39" xfId="43" applyFont="1" applyFill="1" applyBorder="1" applyAlignment="1" applyProtection="1">
      <alignment horizontal="center" vertical="top"/>
    </xf>
    <xf numFmtId="38" fontId="0" fillId="25" borderId="40" xfId="43" applyFont="1" applyFill="1" applyBorder="1" applyAlignment="1" applyProtection="1">
      <alignment horizontal="center" vertical="center"/>
      <protection locked="0"/>
    </xf>
    <xf numFmtId="38" fontId="0" fillId="0" borderId="41" xfId="43" applyFont="1" applyFill="1" applyBorder="1" applyAlignment="1" applyProtection="1">
      <alignment horizontal="right" vertical="center"/>
      <protection locked="0"/>
    </xf>
    <xf numFmtId="0" fontId="24" fillId="0" borderId="42" xfId="33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textRotation="255"/>
    </xf>
    <xf numFmtId="0" fontId="21" fillId="25" borderId="25" xfId="0" applyFont="1" applyFill="1" applyBorder="1" applyAlignment="1" applyProtection="1">
      <alignment horizontal="center" vertical="center"/>
      <protection locked="0"/>
    </xf>
    <xf numFmtId="0" fontId="35" fillId="0" borderId="0" xfId="33" applyFont="1" applyBorder="1" applyAlignment="1" applyProtection="1">
      <alignment horizontal="center" vertical="center"/>
    </xf>
    <xf numFmtId="0" fontId="19" fillId="0" borderId="0" xfId="33" applyFont="1" applyBorder="1" applyAlignment="1" applyProtection="1">
      <alignment horizontal="left" vertical="center"/>
    </xf>
    <xf numFmtId="0" fontId="34" fillId="24" borderId="23" xfId="33" applyFont="1" applyFill="1" applyBorder="1" applyAlignment="1" applyProtection="1">
      <alignment horizontal="right" vertical="center"/>
      <protection locked="0"/>
    </xf>
    <xf numFmtId="0" fontId="34" fillId="24" borderId="0" xfId="33" applyFont="1" applyFill="1" applyBorder="1" applyAlignment="1" applyProtection="1">
      <alignment horizontal="right" vertical="center"/>
      <protection locked="0"/>
    </xf>
    <xf numFmtId="0" fontId="34" fillId="24" borderId="44" xfId="33" applyFont="1" applyFill="1" applyBorder="1" applyAlignment="1" applyProtection="1">
      <alignment horizontal="right" vertical="center"/>
      <protection locked="0"/>
    </xf>
    <xf numFmtId="38" fontId="19" fillId="26" borderId="45" xfId="43" applyFont="1" applyFill="1" applyBorder="1" applyAlignment="1" applyProtection="1">
      <alignment horizontal="center" vertical="top"/>
    </xf>
    <xf numFmtId="38" fontId="0" fillId="0" borderId="23" xfId="43" applyFont="1" applyFill="1" applyBorder="1" applyAlignment="1" applyProtection="1">
      <alignment horizontal="right" vertical="center"/>
      <protection locked="0"/>
    </xf>
    <xf numFmtId="38" fontId="0" fillId="25" borderId="28" xfId="43" applyFont="1" applyFill="1" applyBorder="1" applyAlignment="1" applyProtection="1">
      <alignment horizontal="center" vertical="center" shrinkToFit="1"/>
      <protection locked="0"/>
    </xf>
    <xf numFmtId="38" fontId="0" fillId="25" borderId="31" xfId="43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/>
    </xf>
    <xf numFmtId="0" fontId="24" fillId="0" borderId="21" xfId="0" applyFont="1" applyBorder="1" applyAlignment="1" applyProtection="1">
      <alignment vertical="center" textRotation="255"/>
    </xf>
    <xf numFmtId="0" fontId="21" fillId="25" borderId="47" xfId="0" applyFont="1" applyFill="1" applyBorder="1" applyAlignment="1" applyProtection="1">
      <alignment horizontal="center" vertical="center"/>
      <protection locked="0"/>
    </xf>
    <xf numFmtId="38" fontId="25" fillId="25" borderId="45" xfId="43" applyFont="1" applyFill="1" applyBorder="1" applyAlignment="1" applyProtection="1">
      <alignment horizontal="right" vertical="top"/>
      <protection locked="0"/>
    </xf>
    <xf numFmtId="0" fontId="19" fillId="0" borderId="37" xfId="33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4" fillId="0" borderId="17" xfId="0" applyFont="1" applyBorder="1" applyAlignment="1" applyProtection="1">
      <alignment vertical="center" textRotation="255"/>
    </xf>
    <xf numFmtId="0" fontId="21" fillId="25" borderId="48" xfId="0" applyFont="1" applyFill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vertical="center" textRotation="255"/>
    </xf>
    <xf numFmtId="0" fontId="0" fillId="0" borderId="37" xfId="0" applyBorder="1" applyAlignment="1" applyProtection="1">
      <alignment vertical="center" textRotation="255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24" fillId="0" borderId="49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24" fillId="0" borderId="49" xfId="33" applyFont="1" applyBorder="1" applyAlignment="1" applyProtection="1">
      <alignment horizontal="distributed" vertical="center"/>
    </xf>
    <xf numFmtId="0" fontId="0" fillId="0" borderId="15" xfId="0" applyBorder="1" applyAlignment="1" applyProtection="1">
      <alignment vertical="center"/>
    </xf>
    <xf numFmtId="0" fontId="25" fillId="0" borderId="48" xfId="0" applyFont="1" applyBorder="1" applyAlignment="1" applyProtection="1">
      <alignment horizontal="center" vertical="center"/>
    </xf>
    <xf numFmtId="0" fontId="0" fillId="25" borderId="18" xfId="0" applyFill="1" applyBorder="1" applyAlignment="1" applyProtection="1">
      <alignment vertical="center"/>
      <protection locked="0"/>
    </xf>
    <xf numFmtId="0" fontId="0" fillId="25" borderId="20" xfId="0" applyFill="1" applyBorder="1" applyAlignment="1" applyProtection="1">
      <alignment vertical="center"/>
      <protection locked="0"/>
    </xf>
    <xf numFmtId="0" fontId="24" fillId="0" borderId="50" xfId="0" applyFont="1" applyBorder="1" applyAlignment="1" applyProtection="1">
      <alignment horizontal="center" vertical="center"/>
    </xf>
    <xf numFmtId="0" fontId="24" fillId="0" borderId="33" xfId="0" applyFont="1" applyBorder="1" applyAlignment="1" applyProtection="1">
      <alignment horizontal="center" vertical="center"/>
    </xf>
    <xf numFmtId="0" fontId="24" fillId="0" borderId="34" xfId="0" applyFont="1" applyBorder="1" applyAlignment="1" applyProtection="1">
      <alignment horizontal="center" vertical="center"/>
    </xf>
    <xf numFmtId="0" fontId="24" fillId="0" borderId="23" xfId="33" applyFont="1" applyBorder="1" applyAlignment="1" applyProtection="1">
      <alignment horizontal="distributed" vertical="center"/>
    </xf>
    <xf numFmtId="0" fontId="0" fillId="0" borderId="51" xfId="0" applyBorder="1" applyAlignment="1" applyProtection="1">
      <alignment vertical="center"/>
    </xf>
    <xf numFmtId="0" fontId="0" fillId="25" borderId="28" xfId="0" applyFill="1" applyBorder="1" applyAlignment="1" applyProtection="1">
      <alignment vertical="center"/>
      <protection locked="0"/>
    </xf>
    <xf numFmtId="0" fontId="0" fillId="25" borderId="30" xfId="0" applyFill="1" applyBorder="1" applyAlignment="1" applyProtection="1">
      <alignment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9" fillId="0" borderId="49" xfId="0" applyFont="1" applyBorder="1" applyAlignment="1" applyProtection="1">
      <alignment horizontal="center" vertical="center" textRotation="255" wrapText="1"/>
    </xf>
    <xf numFmtId="0" fontId="19" fillId="0" borderId="15" xfId="0" applyFont="1" applyBorder="1" applyAlignment="1" applyProtection="1">
      <alignment horizontal="center" vertical="center" textRotation="255"/>
    </xf>
    <xf numFmtId="0" fontId="19" fillId="0" borderId="16" xfId="0" applyFont="1" applyBorder="1" applyAlignment="1" applyProtection="1">
      <alignment horizontal="center" vertical="center" textRotation="255"/>
    </xf>
    <xf numFmtId="0" fontId="25" fillId="0" borderId="18" xfId="0" applyFont="1" applyBorder="1" applyAlignment="1" applyProtection="1">
      <alignment horizontal="center" vertical="center"/>
    </xf>
    <xf numFmtId="0" fontId="19" fillId="0" borderId="50" xfId="0" applyFont="1" applyBorder="1" applyAlignment="1" applyProtection="1">
      <alignment horizontal="center" vertical="center" textRotation="255"/>
    </xf>
    <xf numFmtId="0" fontId="19" fillId="0" borderId="33" xfId="0" applyFont="1" applyBorder="1" applyAlignment="1" applyProtection="1">
      <alignment horizontal="center" vertical="center" textRotation="255"/>
    </xf>
    <xf numFmtId="0" fontId="19" fillId="0" borderId="34" xfId="0" applyFont="1" applyBorder="1" applyAlignment="1" applyProtection="1">
      <alignment horizontal="center" vertical="center" textRotation="255"/>
    </xf>
    <xf numFmtId="0" fontId="34" fillId="24" borderId="28" xfId="33" applyFont="1" applyFill="1" applyBorder="1" applyAlignment="1" applyProtection="1">
      <alignment horizontal="right" vertical="center"/>
      <protection locked="0"/>
    </xf>
    <xf numFmtId="0" fontId="34" fillId="24" borderId="30" xfId="33" applyFont="1" applyFill="1" applyBorder="1" applyAlignment="1" applyProtection="1">
      <alignment horizontal="right" vertical="center"/>
      <protection locked="0"/>
    </xf>
    <xf numFmtId="0" fontId="34" fillId="24" borderId="52" xfId="33" applyFont="1" applyFill="1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vertical="center"/>
    </xf>
    <xf numFmtId="0" fontId="25" fillId="0" borderId="28" xfId="0" applyFont="1" applyBorder="1" applyAlignment="1" applyProtection="1">
      <alignment horizontal="center" vertical="center"/>
    </xf>
    <xf numFmtId="38" fontId="25" fillId="25" borderId="53" xfId="43" applyFont="1" applyFill="1" applyBorder="1" applyAlignment="1" applyProtection="1">
      <alignment horizontal="right" vertical="top"/>
      <protection locked="0"/>
    </xf>
    <xf numFmtId="0" fontId="24" fillId="0" borderId="46" xfId="0" applyFont="1" applyBorder="1" applyAlignment="1" applyProtection="1">
      <alignment vertical="center" textRotation="255"/>
    </xf>
    <xf numFmtId="0" fontId="21" fillId="0" borderId="54" xfId="0" applyFont="1" applyFill="1" applyBorder="1" applyAlignment="1" applyProtection="1">
      <alignment vertical="center"/>
    </xf>
    <xf numFmtId="0" fontId="21" fillId="0" borderId="21" xfId="33" applyFont="1" applyBorder="1" applyAlignment="1" applyProtection="1">
      <alignment horizontal="distributed" vertical="center"/>
    </xf>
    <xf numFmtId="38" fontId="34" fillId="0" borderId="19" xfId="33" applyNumberFormat="1" applyFont="1" applyBorder="1" applyAlignment="1" applyProtection="1">
      <alignment horizontal="right" vertical="center"/>
    </xf>
    <xf numFmtId="0" fontId="34" fillId="0" borderId="20" xfId="33" applyFont="1" applyBorder="1" applyAlignment="1" applyProtection="1">
      <alignment horizontal="right" vertical="center"/>
    </xf>
    <xf numFmtId="0" fontId="34" fillId="0" borderId="24" xfId="33" applyFont="1" applyBorder="1" applyAlignment="1" applyProtection="1">
      <alignment horizontal="right" vertical="center"/>
    </xf>
    <xf numFmtId="0" fontId="25" fillId="0" borderId="14" xfId="0" applyFont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right" vertical="center"/>
    </xf>
    <xf numFmtId="38" fontId="0" fillId="25" borderId="55" xfId="43" applyFont="1" applyFill="1" applyBorder="1" applyAlignment="1" applyProtection="1">
      <alignment horizontal="center" vertical="center"/>
      <protection locked="0"/>
    </xf>
    <xf numFmtId="38" fontId="0" fillId="25" borderId="56" xfId="43" applyFont="1" applyFill="1" applyBorder="1" applyAlignment="1" applyProtection="1">
      <alignment horizontal="center" vertical="center"/>
      <protection locked="0"/>
    </xf>
    <xf numFmtId="38" fontId="0" fillId="26" borderId="0" xfId="43" applyFont="1" applyFill="1" applyAlignment="1" applyProtection="1">
      <alignment horizontal="center" vertical="center"/>
    </xf>
    <xf numFmtId="0" fontId="6" fillId="0" borderId="13" xfId="33" applyFont="1" applyBorder="1" applyAlignment="1" applyProtection="1">
      <alignment vertical="center"/>
    </xf>
    <xf numFmtId="0" fontId="34" fillId="0" borderId="26" xfId="33" applyFont="1" applyBorder="1" applyAlignment="1" applyProtection="1">
      <alignment horizontal="right" vertical="center"/>
    </xf>
    <xf numFmtId="0" fontId="34" fillId="0" borderId="0" xfId="33" applyFont="1" applyBorder="1" applyAlignment="1" applyProtection="1">
      <alignment horizontal="right" vertical="center"/>
    </xf>
    <xf numFmtId="0" fontId="34" fillId="0" borderId="13" xfId="33" applyFont="1" applyBorder="1" applyAlignment="1" applyProtection="1">
      <alignment horizontal="right" vertical="center"/>
    </xf>
    <xf numFmtId="0" fontId="25" fillId="0" borderId="26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right" vertical="center"/>
    </xf>
    <xf numFmtId="0" fontId="0" fillId="25" borderId="0" xfId="0" applyFill="1" applyBorder="1" applyAlignment="1" applyProtection="1">
      <alignment vertical="center"/>
      <protection locked="0"/>
    </xf>
    <xf numFmtId="0" fontId="21" fillId="0" borderId="21" xfId="33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/>
    </xf>
    <xf numFmtId="0" fontId="24" fillId="0" borderId="46" xfId="0" applyFont="1" applyBorder="1" applyAlignment="1" applyProtection="1">
      <alignment vertical="center" textRotation="255" shrinkToFit="1"/>
    </xf>
    <xf numFmtId="0" fontId="24" fillId="0" borderId="21" xfId="0" applyFont="1" applyBorder="1" applyAlignment="1" applyProtection="1">
      <alignment vertical="center" textRotation="255" shrinkToFit="1"/>
    </xf>
    <xf numFmtId="0" fontId="28" fillId="0" borderId="0" xfId="33" applyFont="1" applyBorder="1" applyAlignment="1" applyProtection="1">
      <alignment horizontal="center" vertical="center"/>
    </xf>
    <xf numFmtId="0" fontId="0" fillId="0" borderId="57" xfId="0" applyBorder="1" applyAlignment="1" applyProtection="1">
      <alignment vertical="center"/>
    </xf>
    <xf numFmtId="0" fontId="0" fillId="25" borderId="58" xfId="0" applyFill="1" applyBorder="1" applyAlignment="1" applyProtection="1">
      <alignment vertical="center"/>
      <protection locked="0"/>
    </xf>
    <xf numFmtId="0" fontId="24" fillId="0" borderId="59" xfId="0" applyFont="1" applyBorder="1" applyAlignment="1" applyProtection="1">
      <alignment vertical="center" textRotation="255" shrinkToFit="1"/>
    </xf>
    <xf numFmtId="0" fontId="24" fillId="0" borderId="60" xfId="0" applyFont="1" applyBorder="1" applyAlignment="1" applyProtection="1">
      <alignment vertical="center" textRotation="255" shrinkToFit="1"/>
    </xf>
    <xf numFmtId="0" fontId="21" fillId="25" borderId="32" xfId="0" applyFont="1" applyFill="1" applyBorder="1" applyAlignment="1" applyProtection="1">
      <alignment horizontal="center" vertical="center"/>
      <protection locked="0"/>
    </xf>
    <xf numFmtId="0" fontId="33" fillId="0" borderId="35" xfId="33" applyFont="1" applyBorder="1" applyAlignment="1" applyProtection="1">
      <alignment horizontal="center" vertical="center" shrinkToFit="1"/>
    </xf>
    <xf numFmtId="0" fontId="33" fillId="0" borderId="33" xfId="33" applyFont="1" applyBorder="1" applyAlignment="1" applyProtection="1">
      <alignment horizontal="center" vertical="center" shrinkToFit="1"/>
    </xf>
    <xf numFmtId="0" fontId="33" fillId="0" borderId="34" xfId="33" applyFont="1" applyBorder="1" applyAlignment="1" applyProtection="1">
      <alignment horizontal="center" vertical="center" shrinkToFit="1"/>
    </xf>
    <xf numFmtId="0" fontId="0" fillId="0" borderId="28" xfId="0" applyBorder="1" applyAlignment="1" applyProtection="1">
      <alignment vertical="center"/>
    </xf>
    <xf numFmtId="0" fontId="21" fillId="0" borderId="61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22" fillId="0" borderId="22" xfId="33" applyFont="1" applyBorder="1" applyAlignment="1" applyProtection="1">
      <alignment horizontal="center" vertical="center"/>
    </xf>
    <xf numFmtId="0" fontId="22" fillId="0" borderId="62" xfId="33" applyFont="1" applyBorder="1" applyAlignment="1" applyProtection="1">
      <alignment horizontal="center" vertical="center"/>
    </xf>
    <xf numFmtId="0" fontId="22" fillId="0" borderId="63" xfId="33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0" fillId="0" borderId="54" xfId="0" applyBorder="1" applyAlignment="1" applyProtection="1">
      <alignment vertical="center"/>
    </xf>
    <xf numFmtId="0" fontId="6" fillId="0" borderId="33" xfId="33" applyFont="1" applyBorder="1" applyAlignment="1" applyProtection="1">
      <alignment vertical="center"/>
    </xf>
    <xf numFmtId="0" fontId="22" fillId="0" borderId="17" xfId="33" applyFont="1" applyBorder="1" applyAlignment="1" applyProtection="1">
      <alignment horizontal="distributed" vertical="center"/>
    </xf>
    <xf numFmtId="0" fontId="6" fillId="0" borderId="16" xfId="33" applyFont="1" applyBorder="1" applyAlignment="1" applyProtection="1">
      <alignment horizontal="center" vertical="center"/>
    </xf>
    <xf numFmtId="0" fontId="25" fillId="0" borderId="37" xfId="0" applyFont="1" applyBorder="1" applyAlignment="1" applyProtection="1">
      <alignment horizontal="center" vertical="center"/>
    </xf>
    <xf numFmtId="0" fontId="25" fillId="0" borderId="30" xfId="0" applyFont="1" applyBorder="1" applyAlignment="1" applyProtection="1">
      <alignment horizontal="center" vertical="center"/>
    </xf>
    <xf numFmtId="38" fontId="0" fillId="25" borderId="20" xfId="43" applyFont="1" applyFill="1" applyBorder="1" applyAlignment="1" applyProtection="1">
      <alignment horizontal="center" vertical="center" shrinkToFit="1"/>
      <protection locked="0"/>
    </xf>
    <xf numFmtId="38" fontId="0" fillId="25" borderId="38" xfId="43" applyFont="1" applyFill="1" applyBorder="1" applyAlignment="1" applyProtection="1">
      <alignment horizontal="center" vertical="center" shrinkToFit="1"/>
      <protection locked="0"/>
    </xf>
    <xf numFmtId="0" fontId="22" fillId="0" borderId="0" xfId="33" applyFont="1" applyBorder="1" applyAlignment="1" applyProtection="1">
      <alignment horizontal="distributed" vertical="center"/>
    </xf>
    <xf numFmtId="0" fontId="22" fillId="0" borderId="14" xfId="33" applyFont="1" applyBorder="1" applyAlignment="1" applyProtection="1">
      <alignment vertical="top"/>
    </xf>
    <xf numFmtId="0" fontId="22" fillId="0" borderId="15" xfId="33" applyFont="1" applyBorder="1" applyAlignment="1" applyProtection="1">
      <alignment vertical="top"/>
    </xf>
    <xf numFmtId="0" fontId="6" fillId="0" borderId="27" xfId="33" applyFont="1" applyBorder="1" applyAlignment="1" applyProtection="1">
      <alignment horizontal="distributed" vertical="center"/>
    </xf>
    <xf numFmtId="0" fontId="6" fillId="0" borderId="26" xfId="33" applyFont="1" applyBorder="1" applyAlignment="1" applyProtection="1">
      <alignment horizontal="center" vertical="center"/>
    </xf>
    <xf numFmtId="0" fontId="6" fillId="0" borderId="13" xfId="33" applyFont="1" applyBorder="1" applyAlignment="1" applyProtection="1">
      <alignment horizontal="center" vertical="center"/>
    </xf>
    <xf numFmtId="0" fontId="25" fillId="0" borderId="14" xfId="33" applyFont="1" applyBorder="1" applyAlignment="1" applyProtection="1">
      <alignment horizontal="center" vertical="center" wrapText="1"/>
    </xf>
    <xf numFmtId="38" fontId="0" fillId="25" borderId="0" xfId="43" applyFont="1" applyFill="1" applyBorder="1" applyAlignment="1" applyProtection="1">
      <alignment horizontal="center" vertical="center" shrinkToFit="1"/>
      <protection locked="0"/>
    </xf>
    <xf numFmtId="38" fontId="0" fillId="25" borderId="44" xfId="43" applyFont="1" applyFill="1" applyBorder="1" applyAlignment="1" applyProtection="1">
      <alignment horizontal="center" vertical="center" shrinkToFit="1"/>
      <protection locked="0"/>
    </xf>
    <xf numFmtId="0" fontId="22" fillId="0" borderId="0" xfId="33" applyFont="1" applyBorder="1" applyAlignment="1" applyProtection="1">
      <alignment horizontal="left" vertical="top"/>
    </xf>
    <xf numFmtId="0" fontId="22" fillId="0" borderId="26" xfId="33" applyFont="1" applyBorder="1" applyAlignment="1" applyProtection="1">
      <alignment vertical="top"/>
    </xf>
    <xf numFmtId="0" fontId="22" fillId="0" borderId="0" xfId="33" applyFont="1" applyBorder="1" applyAlignment="1" applyProtection="1">
      <alignment vertical="top"/>
    </xf>
    <xf numFmtId="0" fontId="34" fillId="0" borderId="29" xfId="33" applyFont="1" applyBorder="1" applyAlignment="1" applyProtection="1">
      <alignment horizontal="right" vertical="center"/>
    </xf>
    <xf numFmtId="0" fontId="34" fillId="0" borderId="30" xfId="33" applyFont="1" applyBorder="1" applyAlignment="1" applyProtection="1">
      <alignment horizontal="right" vertical="center"/>
    </xf>
    <xf numFmtId="0" fontId="34" fillId="0" borderId="31" xfId="33" applyFont="1" applyBorder="1" applyAlignment="1" applyProtection="1">
      <alignment horizontal="right" vertical="center"/>
    </xf>
    <xf numFmtId="0" fontId="0" fillId="0" borderId="26" xfId="0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0" fillId="25" borderId="64" xfId="0" applyFill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</xf>
    <xf numFmtId="0" fontId="21" fillId="0" borderId="22" xfId="33" applyFont="1" applyBorder="1" applyAlignment="1" applyProtection="1">
      <alignment horizontal="distributed" vertical="center"/>
    </xf>
    <xf numFmtId="38" fontId="34" fillId="0" borderId="18" xfId="33" applyNumberFormat="1" applyFont="1" applyBorder="1" applyAlignment="1" applyProtection="1">
      <alignment horizontal="right" vertical="center"/>
    </xf>
    <xf numFmtId="0" fontId="34" fillId="0" borderId="38" xfId="33" applyFont="1" applyBorder="1" applyAlignment="1" applyProtection="1">
      <alignment horizontal="right" vertical="center"/>
    </xf>
    <xf numFmtId="38" fontId="0" fillId="25" borderId="30" xfId="43" applyFont="1" applyFill="1" applyBorder="1" applyAlignment="1" applyProtection="1">
      <alignment horizontal="center" vertical="center" shrinkToFit="1"/>
      <protection locked="0"/>
    </xf>
    <xf numFmtId="38" fontId="0" fillId="25" borderId="52" xfId="43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 applyAlignment="1" applyProtection="1">
      <alignment horizontal="center" vertical="center"/>
    </xf>
    <xf numFmtId="0" fontId="34" fillId="0" borderId="23" xfId="33" applyFont="1" applyBorder="1" applyAlignment="1" applyProtection="1">
      <alignment horizontal="right" vertical="center"/>
    </xf>
    <xf numFmtId="0" fontId="34" fillId="0" borderId="44" xfId="33" applyFont="1" applyBorder="1" applyAlignment="1" applyProtection="1">
      <alignment horizontal="right" vertical="center"/>
    </xf>
    <xf numFmtId="0" fontId="36" fillId="0" borderId="21" xfId="33" applyFont="1" applyBorder="1" applyAlignment="1" applyProtection="1">
      <alignment horizontal="center" vertical="center" wrapText="1"/>
    </xf>
    <xf numFmtId="0" fontId="24" fillId="0" borderId="37" xfId="33" applyFont="1" applyBorder="1" applyAlignment="1" applyProtection="1">
      <alignment horizontal="center" vertical="center" wrapText="1"/>
    </xf>
    <xf numFmtId="0" fontId="24" fillId="0" borderId="37" xfId="0" applyFont="1" applyBorder="1" applyAlignment="1" applyProtection="1">
      <alignment horizontal="center" vertical="center"/>
    </xf>
    <xf numFmtId="0" fontId="24" fillId="0" borderId="35" xfId="0" applyFont="1" applyBorder="1" applyAlignment="1" applyProtection="1">
      <alignment horizontal="center" vertical="center"/>
    </xf>
    <xf numFmtId="0" fontId="24" fillId="28" borderId="65" xfId="33" applyFont="1" applyFill="1" applyBorder="1" applyAlignment="1" applyProtection="1">
      <alignment horizontal="center" vertical="center" wrapText="1"/>
    </xf>
    <xf numFmtId="0" fontId="24" fillId="28" borderId="66" xfId="33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/>
    </xf>
    <xf numFmtId="0" fontId="24" fillId="0" borderId="21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4" fillId="28" borderId="67" xfId="33" applyFont="1" applyFill="1" applyBorder="1" applyAlignment="1" applyProtection="1">
      <alignment horizontal="center" vertical="center" wrapText="1"/>
    </xf>
    <xf numFmtId="0" fontId="24" fillId="28" borderId="68" xfId="33" applyFont="1" applyFill="1" applyBorder="1" applyAlignment="1" applyProtection="1">
      <alignment horizontal="center" vertical="center" wrapText="1"/>
    </xf>
    <xf numFmtId="0" fontId="6" fillId="0" borderId="69" xfId="33" applyFont="1" applyBorder="1" applyAlignment="1" applyProtection="1">
      <alignment horizontal="distributed" vertical="center"/>
    </xf>
    <xf numFmtId="0" fontId="21" fillId="0" borderId="29" xfId="33" applyFont="1" applyBorder="1" applyAlignment="1" applyProtection="1">
      <alignment horizontal="distributed" vertical="center"/>
    </xf>
    <xf numFmtId="0" fontId="21" fillId="0" borderId="30" xfId="33" applyFont="1" applyBorder="1" applyAlignment="1" applyProtection="1">
      <alignment horizontal="distributed" vertical="center"/>
    </xf>
    <xf numFmtId="0" fontId="6" fillId="0" borderId="37" xfId="33" applyFont="1" applyBorder="1" applyAlignment="1" applyProtection="1">
      <alignment horizontal="distributed" vertical="center"/>
    </xf>
    <xf numFmtId="0" fontId="6" fillId="0" borderId="35" xfId="33" applyFont="1" applyBorder="1" applyAlignment="1" applyProtection="1">
      <alignment horizontal="center" vertical="center"/>
    </xf>
    <xf numFmtId="0" fontId="6" fillId="0" borderId="34" xfId="33" applyFont="1" applyBorder="1" applyAlignment="1" applyProtection="1">
      <alignment horizontal="center" vertical="center"/>
    </xf>
    <xf numFmtId="0" fontId="0" fillId="0" borderId="33" xfId="0" applyBorder="1" applyAlignment="1" applyProtection="1">
      <alignment vertical="center"/>
    </xf>
    <xf numFmtId="0" fontId="0" fillId="0" borderId="37" xfId="0" applyBorder="1" applyAlignment="1" applyProtection="1">
      <alignment horizontal="center" vertical="center"/>
    </xf>
    <xf numFmtId="0" fontId="37" fillId="0" borderId="0" xfId="33" applyFont="1" applyBorder="1" applyAlignment="1" applyProtection="1">
      <alignment horizontal="center" vertical="center"/>
    </xf>
    <xf numFmtId="0" fontId="6" fillId="0" borderId="70" xfId="33" applyFont="1" applyBorder="1" applyAlignment="1" applyProtection="1">
      <alignment horizontal="center" vertical="center"/>
    </xf>
    <xf numFmtId="0" fontId="22" fillId="0" borderId="23" xfId="33" applyFont="1" applyBorder="1" applyAlignment="1" applyProtection="1">
      <alignment horizontal="center" vertical="center"/>
    </xf>
    <xf numFmtId="0" fontId="22" fillId="0" borderId="44" xfId="33" applyFont="1" applyBorder="1" applyAlignment="1" applyProtection="1">
      <alignment horizontal="center" vertical="center"/>
    </xf>
    <xf numFmtId="0" fontId="38" fillId="0" borderId="23" xfId="33" applyFont="1" applyBorder="1" applyAlignment="1" applyProtection="1">
      <alignment horizontal="center" vertical="center"/>
    </xf>
    <xf numFmtId="0" fontId="38" fillId="0" borderId="0" xfId="33" applyFont="1" applyBorder="1" applyAlignment="1" applyProtection="1">
      <alignment horizontal="center" vertical="center"/>
    </xf>
    <xf numFmtId="0" fontId="38" fillId="0" borderId="13" xfId="33" applyFont="1" applyBorder="1" applyAlignment="1" applyProtection="1">
      <alignment horizontal="center" vertical="center"/>
    </xf>
    <xf numFmtId="0" fontId="19" fillId="0" borderId="71" xfId="0" applyFont="1" applyBorder="1" applyAlignment="1" applyProtection="1">
      <alignment horizontal="center" vertical="center" wrapText="1"/>
    </xf>
    <xf numFmtId="0" fontId="19" fillId="0" borderId="71" xfId="0" applyFont="1" applyBorder="1" applyAlignment="1" applyProtection="1">
      <alignment horizontal="center" vertical="center"/>
    </xf>
    <xf numFmtId="0" fontId="0" fillId="25" borderId="72" xfId="0" applyFill="1" applyBorder="1" applyAlignment="1" applyProtection="1">
      <alignment vertical="center"/>
      <protection locked="0"/>
    </xf>
    <xf numFmtId="0" fontId="24" fillId="28" borderId="73" xfId="33" applyFont="1" applyFill="1" applyBorder="1" applyAlignment="1" applyProtection="1">
      <alignment horizontal="center" vertical="center" wrapText="1"/>
    </xf>
    <xf numFmtId="0" fontId="24" fillId="28" borderId="74" xfId="33" applyFont="1" applyFill="1" applyBorder="1" applyAlignment="1" applyProtection="1">
      <alignment horizontal="center" vertical="center" wrapText="1"/>
    </xf>
    <xf numFmtId="0" fontId="19" fillId="27" borderId="0" xfId="33" applyFont="1" applyFill="1" applyBorder="1" applyAlignment="1" applyProtection="1">
      <alignment horizontal="distributed" vertical="center"/>
    </xf>
    <xf numFmtId="0" fontId="21" fillId="0" borderId="59" xfId="0" applyFont="1" applyBorder="1" applyAlignment="1" applyProtection="1">
      <alignment horizontal="center" vertical="center"/>
    </xf>
    <xf numFmtId="0" fontId="21" fillId="0" borderId="60" xfId="0" applyFont="1" applyBorder="1" applyAlignment="1" applyProtection="1">
      <alignment horizontal="center" vertical="center"/>
    </xf>
    <xf numFmtId="0" fontId="0" fillId="0" borderId="75" xfId="0" applyBorder="1" applyAlignment="1" applyProtection="1">
      <alignment vertical="center"/>
    </xf>
    <xf numFmtId="0" fontId="19" fillId="0" borderId="70" xfId="0" applyFont="1" applyBorder="1" applyAlignment="1" applyProtection="1">
      <alignment horizontal="center" vertical="center"/>
    </xf>
    <xf numFmtId="0" fontId="0" fillId="25" borderId="70" xfId="0" applyFill="1" applyBorder="1" applyAlignment="1" applyProtection="1">
      <alignment vertical="center"/>
      <protection locked="0"/>
    </xf>
    <xf numFmtId="0" fontId="0" fillId="25" borderId="23" xfId="0" applyFill="1" applyBorder="1" applyAlignment="1" applyProtection="1">
      <alignment vertical="center"/>
      <protection locked="0"/>
    </xf>
    <xf numFmtId="38" fontId="21" fillId="25" borderId="14" xfId="43" applyFont="1" applyFill="1" applyBorder="1" applyAlignment="1" applyProtection="1">
      <alignment horizontal="center" vertical="center" shrinkToFit="1"/>
      <protection locked="0"/>
    </xf>
    <xf numFmtId="38" fontId="21" fillId="25" borderId="15" xfId="43" applyFont="1" applyFill="1" applyBorder="1" applyAlignment="1" applyProtection="1">
      <alignment horizontal="center" vertical="center" shrinkToFit="1"/>
      <protection locked="0"/>
    </xf>
    <xf numFmtId="38" fontId="6" fillId="0" borderId="23" xfId="33" applyNumberFormat="1" applyFont="1" applyFill="1" applyBorder="1" applyAlignment="1" applyProtection="1">
      <alignment horizontal="center" vertical="center" wrapText="1"/>
    </xf>
    <xf numFmtId="0" fontId="6" fillId="0" borderId="44" xfId="33" applyFont="1" applyFill="1" applyBorder="1" applyAlignment="1" applyProtection="1">
      <alignment horizontal="center" vertical="center" wrapText="1"/>
    </xf>
    <xf numFmtId="0" fontId="21" fillId="0" borderId="13" xfId="33" applyFont="1" applyFill="1" applyBorder="1" applyAlignment="1" applyProtection="1">
      <alignment horizontal="center" vertical="center"/>
    </xf>
    <xf numFmtId="0" fontId="21" fillId="0" borderId="26" xfId="33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9" fillId="0" borderId="76" xfId="0" applyFont="1" applyBorder="1" applyAlignment="1" applyProtection="1">
      <alignment horizontal="center" vertical="center"/>
    </xf>
    <xf numFmtId="0" fontId="0" fillId="25" borderId="77" xfId="0" applyFill="1" applyBorder="1" applyAlignment="1" applyProtection="1">
      <alignment vertical="center"/>
      <protection locked="0"/>
    </xf>
    <xf numFmtId="38" fontId="21" fillId="25" borderId="26" xfId="43" applyFont="1" applyFill="1" applyBorder="1" applyAlignment="1" applyProtection="1">
      <alignment horizontal="center" vertical="center" shrinkToFit="1"/>
      <protection locked="0"/>
    </xf>
    <xf numFmtId="38" fontId="21" fillId="25" borderId="0" xfId="43" applyFont="1" applyFill="1" applyBorder="1" applyAlignment="1" applyProtection="1">
      <alignment horizontal="center" vertical="center" shrinkToFit="1"/>
      <protection locked="0"/>
    </xf>
    <xf numFmtId="0" fontId="6" fillId="0" borderId="23" xfId="33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25" fillId="0" borderId="78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/>
    </xf>
    <xf numFmtId="0" fontId="21" fillId="0" borderId="63" xfId="33" applyFont="1" applyFill="1" applyBorder="1" applyAlignment="1" applyProtection="1">
      <alignment horizontal="center" vertical="center"/>
    </xf>
    <xf numFmtId="0" fontId="22" fillId="0" borderId="44" xfId="33" applyFont="1" applyBorder="1" applyAlignment="1" applyProtection="1">
      <alignment vertical="top"/>
    </xf>
    <xf numFmtId="0" fontId="25" fillId="0" borderId="45" xfId="0" applyFont="1" applyBorder="1" applyAlignment="1" applyProtection="1">
      <alignment horizontal="center" vertical="center"/>
    </xf>
    <xf numFmtId="0" fontId="25" fillId="0" borderId="51" xfId="0" applyFont="1" applyBorder="1" applyAlignment="1" applyProtection="1">
      <alignment horizontal="center" vertical="center"/>
    </xf>
    <xf numFmtId="0" fontId="34" fillId="0" borderId="28" xfId="33" applyFont="1" applyBorder="1" applyAlignment="1" applyProtection="1">
      <alignment horizontal="right" vertical="center"/>
    </xf>
    <xf numFmtId="0" fontId="34" fillId="0" borderId="52" xfId="33" applyFont="1" applyBorder="1" applyAlignment="1" applyProtection="1">
      <alignment horizontal="right" vertical="center"/>
    </xf>
    <xf numFmtId="0" fontId="25" fillId="0" borderId="79" xfId="0" applyFont="1" applyBorder="1" applyAlignment="1" applyProtection="1">
      <alignment horizontal="right" vertical="center"/>
    </xf>
    <xf numFmtId="38" fontId="21" fillId="25" borderId="35" xfId="43" applyFont="1" applyFill="1" applyBorder="1" applyAlignment="1" applyProtection="1">
      <alignment horizontal="center" vertical="center" shrinkToFit="1"/>
      <protection locked="0"/>
    </xf>
    <xf numFmtId="38" fontId="21" fillId="25" borderId="33" xfId="43" applyFont="1" applyFill="1" applyBorder="1" applyAlignment="1" applyProtection="1">
      <alignment horizontal="center" vertical="center" shrinkToFit="1"/>
      <protection locked="0"/>
    </xf>
    <xf numFmtId="0" fontId="6" fillId="0" borderId="28" xfId="33" applyFont="1" applyFill="1" applyBorder="1" applyAlignment="1" applyProtection="1">
      <alignment horizontal="center" vertical="center" wrapText="1"/>
    </xf>
    <xf numFmtId="0" fontId="6" fillId="0" borderId="52" xfId="33" applyFont="1" applyFill="1" applyBorder="1" applyAlignment="1" applyProtection="1">
      <alignment horizontal="center" vertical="center" wrapText="1"/>
    </xf>
    <xf numFmtId="0" fontId="22" fillId="0" borderId="79" xfId="33" applyFont="1" applyBorder="1" applyAlignment="1" applyProtection="1">
      <alignment horizontal="center" vertical="center"/>
    </xf>
    <xf numFmtId="0" fontId="22" fillId="0" borderId="80" xfId="33" applyFont="1" applyBorder="1" applyAlignment="1" applyProtection="1">
      <alignment horizontal="center" vertical="center"/>
    </xf>
    <xf numFmtId="38" fontId="21" fillId="0" borderId="18" xfId="33" applyNumberFormat="1" applyFont="1" applyBorder="1" applyAlignment="1" applyProtection="1">
      <alignment horizontal="left" vertical="center"/>
    </xf>
    <xf numFmtId="0" fontId="34" fillId="29" borderId="20" xfId="33" applyFont="1" applyFill="1" applyBorder="1" applyAlignment="1" applyProtection="1">
      <alignment horizontal="right" vertical="center"/>
      <protection locked="0"/>
    </xf>
    <xf numFmtId="0" fontId="34" fillId="29" borderId="38" xfId="33" applyFont="1" applyFill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vertical="center"/>
    </xf>
    <xf numFmtId="0" fontId="25" fillId="0" borderId="21" xfId="33" applyFont="1" applyFill="1" applyBorder="1" applyAlignment="1" applyProtection="1">
      <alignment horizontal="center" vertical="center" shrinkToFit="1"/>
    </xf>
    <xf numFmtId="38" fontId="0" fillId="25" borderId="37" xfId="43" applyFont="1" applyFill="1" applyBorder="1" applyAlignment="1" applyProtection="1">
      <alignment horizontal="center" vertical="center"/>
      <protection locked="0"/>
    </xf>
    <xf numFmtId="0" fontId="24" fillId="0" borderId="21" xfId="33" applyFont="1" applyBorder="1" applyAlignment="1" applyProtection="1">
      <alignment horizontal="center" vertical="center" wrapText="1"/>
    </xf>
    <xf numFmtId="0" fontId="24" fillId="28" borderId="26" xfId="33" applyFont="1" applyFill="1" applyBorder="1" applyAlignment="1" applyProtection="1">
      <alignment horizontal="center" vertical="center" wrapText="1"/>
    </xf>
    <xf numFmtId="0" fontId="24" fillId="28" borderId="13" xfId="33" applyFont="1" applyFill="1" applyBorder="1" applyAlignment="1" applyProtection="1">
      <alignment horizontal="center" vertical="center" wrapText="1"/>
    </xf>
    <xf numFmtId="0" fontId="22" fillId="0" borderId="57" xfId="33" applyFont="1" applyBorder="1" applyAlignment="1" applyProtection="1">
      <alignment horizontal="center" vertical="center"/>
    </xf>
    <xf numFmtId="0" fontId="22" fillId="0" borderId="81" xfId="33" applyFont="1" applyBorder="1" applyAlignment="1" applyProtection="1">
      <alignment horizontal="center" vertical="center"/>
    </xf>
    <xf numFmtId="38" fontId="21" fillId="0" borderId="23" xfId="33" applyNumberFormat="1" applyFont="1" applyBorder="1" applyAlignment="1" applyProtection="1">
      <alignment horizontal="left" vertical="center"/>
    </xf>
    <xf numFmtId="0" fontId="34" fillId="29" borderId="0" xfId="33" applyFont="1" applyFill="1" applyBorder="1" applyAlignment="1" applyProtection="1">
      <alignment horizontal="right" vertical="center"/>
      <protection locked="0"/>
    </xf>
    <xf numFmtId="0" fontId="34" fillId="29" borderId="44" xfId="33" applyFont="1" applyFill="1" applyBorder="1" applyAlignment="1" applyProtection="1">
      <alignment horizontal="right" vertical="center"/>
      <protection locked="0"/>
    </xf>
    <xf numFmtId="38" fontId="34" fillId="27" borderId="0" xfId="33" applyNumberFormat="1" applyFont="1" applyFill="1" applyBorder="1" applyAlignment="1" applyProtection="1">
      <alignment vertical="center"/>
    </xf>
    <xf numFmtId="0" fontId="6" fillId="0" borderId="22" xfId="33" applyFill="1" applyBorder="1" applyAlignment="1" applyProtection="1">
      <alignment horizontal="center" vertical="center"/>
    </xf>
    <xf numFmtId="0" fontId="21" fillId="0" borderId="13" xfId="33" applyFont="1" applyBorder="1" applyAlignment="1" applyProtection="1">
      <alignment vertical="center"/>
    </xf>
    <xf numFmtId="0" fontId="25" fillId="0" borderId="47" xfId="0" applyFont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vertical="center"/>
    </xf>
    <xf numFmtId="0" fontId="24" fillId="0" borderId="17" xfId="0" applyFont="1" applyBorder="1" applyAlignment="1" applyProtection="1">
      <alignment horizontal="center" vertical="center"/>
    </xf>
    <xf numFmtId="0" fontId="25" fillId="0" borderId="61" xfId="0" applyFont="1" applyBorder="1" applyAlignment="1" applyProtection="1">
      <alignment horizontal="center" vertical="center"/>
    </xf>
    <xf numFmtId="0" fontId="25" fillId="0" borderId="35" xfId="0" applyFont="1" applyBorder="1" applyAlignment="1" applyProtection="1">
      <alignment vertical="center"/>
    </xf>
    <xf numFmtId="38" fontId="22" fillId="25" borderId="18" xfId="43" applyFont="1" applyFill="1" applyBorder="1" applyAlignment="1" applyProtection="1">
      <alignment horizontal="center" vertical="center" shrinkToFit="1"/>
      <protection locked="0"/>
    </xf>
    <xf numFmtId="38" fontId="22" fillId="25" borderId="24" xfId="43" applyFont="1" applyFill="1" applyBorder="1" applyAlignment="1" applyProtection="1">
      <alignment horizontal="center" vertical="center" shrinkToFit="1"/>
      <protection locked="0"/>
    </xf>
    <xf numFmtId="38" fontId="21" fillId="25" borderId="42" xfId="33" applyNumberFormat="1" applyFont="1" applyFill="1" applyBorder="1" applyAlignment="1" applyProtection="1">
      <alignment horizontal="center" vertical="center"/>
      <protection locked="0"/>
    </xf>
    <xf numFmtId="0" fontId="21" fillId="25" borderId="43" xfId="0" applyFont="1" applyFill="1" applyBorder="1" applyAlignment="1" applyProtection="1">
      <alignment horizontal="center" vertical="center"/>
      <protection locked="0"/>
    </xf>
    <xf numFmtId="0" fontId="21" fillId="25" borderId="82" xfId="0" applyFont="1" applyFill="1" applyBorder="1" applyAlignment="1" applyProtection="1">
      <alignment horizontal="center" vertical="center"/>
      <protection locked="0"/>
    </xf>
    <xf numFmtId="38" fontId="21" fillId="25" borderId="18" xfId="33" applyNumberFormat="1" applyFont="1" applyFill="1" applyBorder="1" applyAlignment="1" applyProtection="1">
      <alignment horizontal="center" vertical="center"/>
      <protection locked="0"/>
    </xf>
    <xf numFmtId="38" fontId="21" fillId="25" borderId="38" xfId="33" applyNumberFormat="1" applyFont="1" applyFill="1" applyBorder="1" applyAlignment="1" applyProtection="1">
      <alignment horizontal="center" vertical="center"/>
      <protection locked="0"/>
    </xf>
    <xf numFmtId="0" fontId="19" fillId="0" borderId="78" xfId="0" applyFont="1" applyBorder="1" applyAlignment="1" applyProtection="1">
      <alignment horizontal="center" vertical="center" wrapText="1"/>
    </xf>
    <xf numFmtId="0" fontId="0" fillId="29" borderId="27" xfId="0" applyFont="1" applyFill="1" applyBorder="1" applyAlignment="1" applyProtection="1">
      <alignment vertical="center"/>
      <protection locked="0"/>
    </xf>
    <xf numFmtId="0" fontId="0" fillId="29" borderId="26" xfId="0" applyFont="1" applyFill="1" applyBorder="1" applyAlignment="1" applyProtection="1">
      <alignment vertical="center"/>
      <protection locked="0"/>
    </xf>
    <xf numFmtId="38" fontId="22" fillId="25" borderId="23" xfId="43" applyFont="1" applyFill="1" applyBorder="1" applyAlignment="1" applyProtection="1">
      <alignment horizontal="center" vertical="center" shrinkToFit="1"/>
      <protection locked="0"/>
    </xf>
    <xf numFmtId="38" fontId="22" fillId="25" borderId="13" xfId="43" applyFont="1" applyFill="1" applyBorder="1" applyAlignment="1" applyProtection="1">
      <alignment horizontal="center" vertical="center" shrinkToFit="1"/>
      <protection locked="0"/>
    </xf>
    <xf numFmtId="0" fontId="21" fillId="25" borderId="46" xfId="0" applyFont="1" applyFill="1" applyBorder="1" applyAlignment="1" applyProtection="1">
      <alignment horizontal="center" vertical="center"/>
      <protection locked="0"/>
    </xf>
    <xf numFmtId="0" fontId="21" fillId="25" borderId="21" xfId="0" applyFont="1" applyFill="1" applyBorder="1" applyAlignment="1" applyProtection="1">
      <alignment horizontal="center" vertical="center"/>
      <protection locked="0"/>
    </xf>
    <xf numFmtId="0" fontId="21" fillId="25" borderId="54" xfId="0" applyFont="1" applyFill="1" applyBorder="1" applyAlignment="1" applyProtection="1">
      <alignment horizontal="center" vertical="center"/>
      <protection locked="0"/>
    </xf>
    <xf numFmtId="38" fontId="21" fillId="25" borderId="23" xfId="33" applyNumberFormat="1" applyFont="1" applyFill="1" applyBorder="1" applyAlignment="1" applyProtection="1">
      <alignment horizontal="center" vertical="center"/>
      <protection locked="0"/>
    </xf>
    <xf numFmtId="38" fontId="21" fillId="25" borderId="44" xfId="33" applyNumberFormat="1" applyFont="1" applyFill="1" applyBorder="1" applyAlignment="1" applyProtection="1">
      <alignment horizontal="center" vertical="center"/>
      <protection locked="0"/>
    </xf>
    <xf numFmtId="0" fontId="22" fillId="0" borderId="0" xfId="33" applyFont="1" applyBorder="1" applyAlignment="1" applyProtection="1">
      <alignment horizontal="right" vertical="top"/>
    </xf>
    <xf numFmtId="0" fontId="19" fillId="0" borderId="45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/>
    </xf>
    <xf numFmtId="0" fontId="22" fillId="0" borderId="35" xfId="33" applyFont="1" applyBorder="1" applyAlignment="1" applyProtection="1">
      <alignment vertical="top"/>
    </xf>
    <xf numFmtId="0" fontId="22" fillId="0" borderId="83" xfId="33" applyFont="1" applyBorder="1" applyAlignment="1" applyProtection="1">
      <alignment vertical="top"/>
    </xf>
    <xf numFmtId="0" fontId="6" fillId="0" borderId="77" xfId="33" applyFont="1" applyBorder="1" applyAlignment="1" applyProtection="1">
      <alignment horizontal="center" vertical="center"/>
    </xf>
    <xf numFmtId="0" fontId="22" fillId="0" borderId="28" xfId="33" applyFont="1" applyBorder="1" applyAlignment="1" applyProtection="1">
      <alignment horizontal="center" vertical="center"/>
    </xf>
    <xf numFmtId="0" fontId="22" fillId="0" borderId="52" xfId="33" applyFont="1" applyBorder="1" applyAlignment="1" applyProtection="1">
      <alignment horizontal="center" vertical="center"/>
    </xf>
    <xf numFmtId="0" fontId="38" fillId="0" borderId="50" xfId="33" applyFont="1" applyBorder="1" applyAlignment="1" applyProtection="1">
      <alignment horizontal="center" vertical="center"/>
    </xf>
    <xf numFmtId="0" fontId="38" fillId="0" borderId="33" xfId="33" applyFont="1" applyBorder="1" applyAlignment="1" applyProtection="1">
      <alignment horizontal="center" vertical="center"/>
    </xf>
    <xf numFmtId="0" fontId="38" fillId="0" borderId="34" xfId="33" applyFont="1" applyBorder="1" applyAlignment="1" applyProtection="1">
      <alignment horizontal="center" vertical="center"/>
    </xf>
    <xf numFmtId="38" fontId="21" fillId="0" borderId="28" xfId="33" applyNumberFormat="1" applyFont="1" applyBorder="1" applyAlignment="1" applyProtection="1">
      <alignment horizontal="left" vertical="center"/>
    </xf>
    <xf numFmtId="0" fontId="34" fillId="29" borderId="30" xfId="33" applyFont="1" applyFill="1" applyBorder="1" applyAlignment="1" applyProtection="1">
      <alignment horizontal="right" vertical="center"/>
      <protection locked="0"/>
    </xf>
    <xf numFmtId="0" fontId="34" fillId="29" borderId="52" xfId="33" applyFont="1" applyFill="1" applyBorder="1" applyAlignment="1" applyProtection="1">
      <alignment horizontal="right" vertical="center"/>
      <protection locked="0"/>
    </xf>
    <xf numFmtId="0" fontId="19" fillId="0" borderId="61" xfId="0" applyFont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center" vertical="center"/>
    </xf>
    <xf numFmtId="0" fontId="0" fillId="29" borderId="37" xfId="0" applyFont="1" applyFill="1" applyBorder="1" applyAlignment="1" applyProtection="1">
      <alignment vertical="center"/>
      <protection locked="0"/>
    </xf>
    <xf numFmtId="0" fontId="0" fillId="29" borderId="35" xfId="0" applyFont="1" applyFill="1" applyBorder="1" applyAlignment="1" applyProtection="1">
      <alignment vertical="center"/>
      <protection locked="0"/>
    </xf>
    <xf numFmtId="38" fontId="22" fillId="25" borderId="28" xfId="43" applyFont="1" applyFill="1" applyBorder="1" applyAlignment="1" applyProtection="1">
      <alignment horizontal="center" vertical="center" shrinkToFit="1"/>
      <protection locked="0"/>
    </xf>
    <xf numFmtId="38" fontId="22" fillId="25" borderId="31" xfId="43" applyFont="1" applyFill="1" applyBorder="1" applyAlignment="1" applyProtection="1">
      <alignment horizontal="center" vertical="center" shrinkToFit="1"/>
      <protection locked="0"/>
    </xf>
    <xf numFmtId="0" fontId="21" fillId="25" borderId="59" xfId="0" applyFont="1" applyFill="1" applyBorder="1" applyAlignment="1" applyProtection="1">
      <alignment horizontal="center" vertical="center"/>
      <protection locked="0"/>
    </xf>
    <xf numFmtId="0" fontId="21" fillId="25" borderId="60" xfId="0" applyFont="1" applyFill="1" applyBorder="1" applyAlignment="1" applyProtection="1">
      <alignment horizontal="center" vertical="center"/>
      <protection locked="0"/>
    </xf>
    <xf numFmtId="0" fontId="21" fillId="25" borderId="75" xfId="0" applyFont="1" applyFill="1" applyBorder="1" applyAlignment="1" applyProtection="1">
      <alignment horizontal="center" vertical="center"/>
      <protection locked="0"/>
    </xf>
    <xf numFmtId="38" fontId="21" fillId="25" borderId="28" xfId="33" applyNumberFormat="1" applyFont="1" applyFill="1" applyBorder="1" applyAlignment="1" applyProtection="1">
      <alignment horizontal="center" vertical="center"/>
      <protection locked="0"/>
    </xf>
    <xf numFmtId="38" fontId="21" fillId="25" borderId="52" xfId="33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/>
    <xf numFmtId="0" fontId="0" fillId="0" borderId="33" xfId="0" applyBorder="1" applyAlignment="1" applyProtection="1"/>
    <xf numFmtId="0" fontId="0" fillId="0" borderId="34" xfId="0" applyBorder="1" applyAlignment="1" applyProtection="1"/>
    <xf numFmtId="0" fontId="22" fillId="0" borderId="35" xfId="33" applyFont="1" applyBorder="1" applyAlignment="1" applyProtection="1">
      <alignment vertical="center"/>
    </xf>
    <xf numFmtId="0" fontId="22" fillId="0" borderId="33" xfId="33" applyFont="1" applyBorder="1" applyAlignment="1" applyProtection="1">
      <alignment vertical="center"/>
    </xf>
    <xf numFmtId="0" fontId="21" fillId="0" borderId="34" xfId="33" applyFont="1" applyBorder="1" applyAlignment="1" applyProtection="1">
      <alignment vertical="center"/>
    </xf>
    <xf numFmtId="0" fontId="6" fillId="0" borderId="84" xfId="33" applyFont="1" applyBorder="1" applyAlignment="1" applyProtection="1">
      <alignment vertical="center"/>
    </xf>
    <xf numFmtId="0" fontId="6" fillId="0" borderId="85" xfId="33" applyFont="1" applyBorder="1" applyProtection="1">
      <alignment vertical="center"/>
    </xf>
    <xf numFmtId="0" fontId="21" fillId="0" borderId="0" xfId="33" applyFont="1" applyProtection="1">
      <alignment vertical="center"/>
    </xf>
    <xf numFmtId="0" fontId="0" fillId="30" borderId="0" xfId="33" applyFont="1" applyFill="1" applyProtection="1">
      <alignment vertical="center"/>
    </xf>
    <xf numFmtId="0" fontId="39" fillId="0" borderId="11" xfId="33" applyFont="1" applyBorder="1" applyAlignment="1" applyProtection="1">
      <alignment horizontal="left" vertical="center"/>
    </xf>
    <xf numFmtId="0" fontId="40" fillId="31" borderId="0" xfId="33" applyFont="1" applyFill="1" applyProtection="1">
      <alignment vertical="center"/>
    </xf>
    <xf numFmtId="0" fontId="40" fillId="0" borderId="0" xfId="33" applyFont="1" applyFill="1" applyProtection="1">
      <alignment vertical="center"/>
    </xf>
    <xf numFmtId="0" fontId="0" fillId="0" borderId="0" xfId="33" applyFont="1" applyProtection="1">
      <alignment vertical="center"/>
    </xf>
    <xf numFmtId="0" fontId="0" fillId="31" borderId="0" xfId="33" applyFont="1" applyFill="1" applyAlignment="1" applyProtection="1">
      <alignment vertical="center"/>
    </xf>
    <xf numFmtId="0" fontId="39" fillId="0" borderId="0" xfId="33" applyFont="1" applyBorder="1" applyAlignment="1" applyProtection="1">
      <alignment horizontal="left" vertical="center"/>
    </xf>
    <xf numFmtId="0" fontId="0" fillId="32" borderId="0" xfId="33" applyFont="1" applyFill="1" applyAlignment="1" applyProtection="1">
      <alignment horizontal="center" vertical="center"/>
    </xf>
    <xf numFmtId="0" fontId="0" fillId="0" borderId="0" xfId="33" applyFont="1" applyAlignment="1" applyProtection="1">
      <alignment horizontal="right" vertical="center"/>
    </xf>
    <xf numFmtId="0" fontId="0" fillId="31" borderId="0" xfId="33" applyFont="1" applyFill="1" applyProtection="1">
      <alignment vertical="center"/>
    </xf>
    <xf numFmtId="0" fontId="2" fillId="0" borderId="0" xfId="33" applyFo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2" fillId="0" borderId="0" xfId="0" applyFont="1" applyProtection="1"/>
    <xf numFmtId="0" fontId="32" fillId="0" borderId="0" xfId="0" applyFont="1" applyAlignment="1" applyProtection="1">
      <alignment vertical="center"/>
    </xf>
    <xf numFmtId="0" fontId="21" fillId="0" borderId="44" xfId="0" applyFont="1" applyBorder="1" applyAlignment="1" applyProtection="1">
      <alignment vertical="center" textRotation="255"/>
    </xf>
    <xf numFmtId="0" fontId="0" fillId="0" borderId="86" xfId="0" applyFont="1" applyBorder="1" applyAlignment="1" applyProtection="1">
      <alignment horizontal="center" vertical="center"/>
    </xf>
    <xf numFmtId="0" fontId="0" fillId="0" borderId="87" xfId="0" applyFont="1" applyBorder="1" applyAlignment="1" applyProtection="1">
      <alignment horizontal="center" vertical="center"/>
    </xf>
    <xf numFmtId="0" fontId="0" fillId="0" borderId="88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vertical="center" textRotation="255"/>
    </xf>
    <xf numFmtId="0" fontId="0" fillId="0" borderId="0" xfId="0" applyFont="1" applyAlignment="1">
      <alignment vertical="center" textRotation="255"/>
    </xf>
    <xf numFmtId="0" fontId="0" fillId="0" borderId="0" xfId="0" applyFont="1" applyAlignment="1">
      <alignment vertical="center" textRotation="255"/>
    </xf>
    <xf numFmtId="0" fontId="0" fillId="0" borderId="44" xfId="0" applyFont="1" applyBorder="1" applyAlignment="1">
      <alignment vertical="center" textRotation="255"/>
    </xf>
    <xf numFmtId="0" fontId="22" fillId="0" borderId="44" xfId="0" applyFont="1" applyBorder="1" applyAlignment="1" applyProtection="1">
      <alignment horizontal="center" vertical="center" textRotation="255"/>
    </xf>
    <xf numFmtId="0" fontId="25" fillId="0" borderId="72" xfId="0" applyFont="1" applyBorder="1" applyAlignment="1" applyProtection="1">
      <alignment horizontal="center"/>
    </xf>
    <xf numFmtId="0" fontId="22" fillId="0" borderId="89" xfId="0" applyFont="1" applyBorder="1" applyAlignment="1" applyProtection="1">
      <alignment vertical="center" textRotation="255"/>
    </xf>
    <xf numFmtId="0" fontId="0" fillId="0" borderId="90" xfId="0" applyFont="1" applyBorder="1" applyAlignment="1">
      <alignment vertical="center" textRotation="255"/>
    </xf>
    <xf numFmtId="0" fontId="0" fillId="0" borderId="91" xfId="0" applyFont="1" applyBorder="1" applyAlignment="1">
      <alignment vertical="center" textRotation="255"/>
    </xf>
    <xf numFmtId="0" fontId="22" fillId="0" borderId="91" xfId="0" applyFont="1" applyBorder="1" applyAlignment="1" applyProtection="1">
      <alignment horizontal="center"/>
    </xf>
    <xf numFmtId="0" fontId="32" fillId="0" borderId="30" xfId="0" applyFont="1" applyBorder="1" applyAlignment="1" applyProtection="1">
      <alignment vertical="center"/>
    </xf>
    <xf numFmtId="0" fontId="0" fillId="0" borderId="92" xfId="0" applyFont="1" applyBorder="1" applyAlignment="1" applyProtection="1">
      <alignment horizontal="center" vertical="center"/>
    </xf>
    <xf numFmtId="0" fontId="0" fillId="0" borderId="93" xfId="0" applyFont="1" applyBorder="1" applyAlignment="1" applyProtection="1">
      <alignment horizontal="center" vertical="center"/>
    </xf>
    <xf numFmtId="0" fontId="0" fillId="0" borderId="94" xfId="0" applyFont="1" applyBorder="1" applyAlignment="1" applyProtection="1">
      <alignment horizontal="center" vertical="center"/>
    </xf>
    <xf numFmtId="0" fontId="22" fillId="0" borderId="92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2" fillId="0" borderId="95" xfId="0" applyFont="1" applyBorder="1" applyAlignment="1" applyProtection="1">
      <alignment horizontal="center" vertical="center"/>
    </xf>
    <xf numFmtId="0" fontId="22" fillId="0" borderId="96" xfId="0" applyFont="1" applyBorder="1" applyAlignment="1" applyProtection="1">
      <alignment horizontal="center" vertical="center"/>
    </xf>
    <xf numFmtId="0" fontId="22" fillId="0" borderId="97" xfId="0" applyFont="1" applyBorder="1" applyAlignment="1" applyProtection="1">
      <alignment horizontal="center" vertical="center"/>
    </xf>
    <xf numFmtId="0" fontId="22" fillId="0" borderId="98" xfId="0" applyFont="1" applyBorder="1" applyAlignment="1" applyProtection="1">
      <alignment horizontal="center" vertical="center"/>
    </xf>
    <xf numFmtId="0" fontId="22" fillId="0" borderId="99" xfId="0" applyFont="1" applyBorder="1" applyAlignment="1" applyProtection="1">
      <alignment horizontal="center" vertical="center"/>
    </xf>
    <xf numFmtId="0" fontId="22" fillId="0" borderId="100" xfId="0" applyFont="1" applyBorder="1" applyAlignment="1" applyProtection="1">
      <alignment horizontal="center" vertical="center"/>
    </xf>
    <xf numFmtId="0" fontId="22" fillId="0" borderId="93" xfId="0" applyFont="1" applyFill="1" applyBorder="1" applyAlignment="1" applyProtection="1">
      <alignment horizontal="center" vertical="center"/>
    </xf>
    <xf numFmtId="0" fontId="22" fillId="0" borderId="101" xfId="0" applyFont="1" applyFill="1" applyBorder="1" applyAlignment="1" applyProtection="1">
      <alignment horizontal="center" vertical="center"/>
    </xf>
    <xf numFmtId="0" fontId="22" fillId="0" borderId="102" xfId="0" applyFont="1" applyFill="1" applyBorder="1" applyAlignment="1" applyProtection="1">
      <alignment horizontal="center" vertical="center"/>
    </xf>
    <xf numFmtId="0" fontId="22" fillId="0" borderId="94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</xf>
    <xf numFmtId="0" fontId="25" fillId="0" borderId="77" xfId="0" applyFont="1" applyBorder="1" applyAlignment="1" applyProtection="1">
      <alignment horizontal="center"/>
    </xf>
    <xf numFmtId="0" fontId="22" fillId="0" borderId="103" xfId="0" applyFont="1" applyBorder="1" applyAlignment="1" applyProtection="1">
      <alignment horizontal="center"/>
    </xf>
    <xf numFmtId="0" fontId="22" fillId="0" borderId="0" xfId="0" applyFont="1" applyAlignment="1" applyProtection="1">
      <alignment vertical="center"/>
    </xf>
    <xf numFmtId="38" fontId="39" fillId="24" borderId="101" xfId="43" applyFont="1" applyFill="1" applyBorder="1" applyAlignment="1" applyProtection="1"/>
    <xf numFmtId="0" fontId="0" fillId="0" borderId="102" xfId="0" applyBorder="1" applyProtection="1"/>
    <xf numFmtId="38" fontId="26" fillId="24" borderId="104" xfId="43" applyFont="1" applyFill="1" applyBorder="1" applyAlignment="1" applyProtection="1">
      <alignment vertical="center"/>
    </xf>
    <xf numFmtId="38" fontId="26" fillId="24" borderId="105" xfId="43" applyFont="1" applyFill="1" applyBorder="1" applyAlignment="1" applyProtection="1">
      <alignment vertical="center"/>
    </xf>
    <xf numFmtId="38" fontId="26" fillId="24" borderId="106" xfId="43" applyFont="1" applyFill="1" applyBorder="1" applyAlignment="1" applyProtection="1">
      <alignment vertical="center"/>
    </xf>
    <xf numFmtId="38" fontId="26" fillId="24" borderId="107" xfId="43" applyFont="1" applyFill="1" applyBorder="1" applyAlignment="1" applyProtection="1">
      <alignment vertical="center"/>
    </xf>
    <xf numFmtId="38" fontId="26" fillId="24" borderId="108" xfId="43" applyFont="1" applyFill="1" applyBorder="1" applyAlignment="1" applyProtection="1"/>
    <xf numFmtId="38" fontId="26" fillId="24" borderId="106" xfId="43" applyFont="1" applyFill="1" applyBorder="1" applyAlignment="1" applyProtection="1"/>
    <xf numFmtId="38" fontId="26" fillId="24" borderId="109" xfId="43" applyFont="1" applyFill="1" applyBorder="1" applyAlignment="1" applyProtection="1"/>
    <xf numFmtId="0" fontId="26" fillId="24" borderId="110" xfId="0" applyFont="1" applyFill="1" applyBorder="1" applyAlignment="1" applyProtection="1"/>
    <xf numFmtId="38" fontId="26" fillId="24" borderId="111" xfId="0" applyNumberFormat="1" applyFont="1" applyFill="1" applyBorder="1" applyAlignment="1" applyProtection="1"/>
    <xf numFmtId="0" fontId="26" fillId="24" borderId="105" xfId="0" applyFont="1" applyFill="1" applyBorder="1" applyAlignment="1" applyProtection="1"/>
    <xf numFmtId="0" fontId="26" fillId="24" borderId="112" xfId="0" applyFont="1" applyFill="1" applyBorder="1" applyAlignment="1" applyProtection="1"/>
    <xf numFmtId="38" fontId="26" fillId="24" borderId="100" xfId="43" applyFont="1" applyFill="1" applyBorder="1" applyAlignment="1" applyProtection="1"/>
    <xf numFmtId="38" fontId="26" fillId="24" borderId="105" xfId="0" applyNumberFormat="1" applyFont="1" applyFill="1" applyBorder="1" applyAlignment="1" applyProtection="1"/>
    <xf numFmtId="38" fontId="26" fillId="24" borderId="112" xfId="43" applyFont="1" applyFill="1" applyBorder="1" applyAlignment="1" applyProtection="1"/>
    <xf numFmtId="38" fontId="26" fillId="24" borderId="104" xfId="43" applyFont="1" applyFill="1" applyBorder="1" applyAlignment="1" applyProtection="1"/>
    <xf numFmtId="38" fontId="26" fillId="24" borderId="113" xfId="43" applyFont="1" applyFill="1" applyBorder="1" applyAlignment="1" applyProtection="1"/>
    <xf numFmtId="38" fontId="26" fillId="33" borderId="100" xfId="0" applyNumberFormat="1" applyFont="1" applyFill="1" applyBorder="1" applyAlignment="1" applyProtection="1"/>
    <xf numFmtId="38" fontId="41" fillId="0" borderId="38" xfId="43" applyFont="1" applyFill="1" applyBorder="1" applyAlignment="1" applyProtection="1"/>
    <xf numFmtId="38" fontId="39" fillId="0" borderId="72" xfId="43" applyFont="1" applyFill="1" applyBorder="1" applyAlignment="1" applyProtection="1">
      <alignment horizontal="right"/>
    </xf>
    <xf numFmtId="38" fontId="42" fillId="0" borderId="101" xfId="0" applyNumberFormat="1" applyFont="1" applyFill="1" applyBorder="1" applyAlignment="1" applyProtection="1">
      <alignment horizontal="center" vertical="center" shrinkToFit="1"/>
    </xf>
    <xf numFmtId="38" fontId="32" fillId="34" borderId="101" xfId="0" applyNumberFormat="1" applyFont="1" applyFill="1" applyBorder="1" applyAlignment="1" applyProtection="1">
      <alignment horizontal="right" vertical="center" shrinkToFit="1"/>
    </xf>
    <xf numFmtId="38" fontId="32" fillId="34" borderId="114" xfId="0" applyNumberFormat="1" applyFont="1" applyFill="1" applyBorder="1" applyAlignment="1" applyProtection="1">
      <alignment horizontal="right" vertical="center" shrinkToFit="1"/>
    </xf>
    <xf numFmtId="38" fontId="32" fillId="34" borderId="115" xfId="0" applyNumberFormat="1" applyFont="1" applyFill="1" applyBorder="1" applyAlignment="1" applyProtection="1">
      <alignment horizontal="right" vertical="center" shrinkToFit="1"/>
    </xf>
    <xf numFmtId="38" fontId="22" fillId="0" borderId="108" xfId="43" applyFont="1" applyFill="1" applyBorder="1" applyAlignment="1" applyProtection="1">
      <alignment horizontal="right"/>
    </xf>
    <xf numFmtId="38" fontId="22" fillId="0" borderId="109" xfId="43" applyFont="1" applyFill="1" applyBorder="1" applyAlignment="1" applyProtection="1">
      <alignment horizontal="right"/>
    </xf>
    <xf numFmtId="38" fontId="22" fillId="0" borderId="110" xfId="43" applyFont="1" applyFill="1" applyBorder="1" applyAlignment="1" applyProtection="1">
      <alignment horizontal="right"/>
    </xf>
    <xf numFmtId="0" fontId="22" fillId="0" borderId="110" xfId="43" applyNumberFormat="1" applyFont="1" applyFill="1" applyBorder="1" applyAlignment="1" applyProtection="1">
      <alignment horizontal="right"/>
    </xf>
    <xf numFmtId="38" fontId="22" fillId="0" borderId="110" xfId="43" applyFont="1" applyBorder="1" applyProtection="1"/>
    <xf numFmtId="38" fontId="22" fillId="0" borderId="69" xfId="43" applyFont="1" applyFill="1" applyBorder="1" applyAlignment="1" applyProtection="1">
      <alignment horizontal="right"/>
    </xf>
    <xf numFmtId="38" fontId="22" fillId="0" borderId="69" xfId="43" applyFont="1" applyFill="1" applyBorder="1" applyAlignment="1" applyProtection="1"/>
    <xf numFmtId="38" fontId="22" fillId="0" borderId="114" xfId="43" applyFont="1" applyFill="1" applyBorder="1" applyAlignment="1" applyProtection="1">
      <alignment horizontal="right"/>
    </xf>
    <xf numFmtId="38" fontId="22" fillId="0" borderId="100" xfId="43" applyFont="1" applyFill="1" applyBorder="1" applyAlignment="1" applyProtection="1">
      <alignment horizontal="right"/>
    </xf>
    <xf numFmtId="38" fontId="22" fillId="0" borderId="116" xfId="43" applyFont="1" applyFill="1" applyBorder="1" applyAlignment="1" applyProtection="1">
      <alignment horizontal="right"/>
    </xf>
    <xf numFmtId="38" fontId="41" fillId="0" borderId="52" xfId="43" applyFont="1" applyFill="1" applyBorder="1" applyAlignment="1" applyProtection="1"/>
    <xf numFmtId="38" fontId="39" fillId="0" borderId="77" xfId="43" applyFont="1" applyFill="1" applyBorder="1" applyAlignment="1" applyProtection="1">
      <alignment horizontal="right"/>
    </xf>
    <xf numFmtId="0" fontId="21" fillId="0" borderId="100" xfId="0" applyFont="1" applyFill="1" applyBorder="1" applyAlignment="1" applyProtection="1">
      <alignment horizontal="center" vertical="center" shrinkToFit="1"/>
    </xf>
    <xf numFmtId="38" fontId="41" fillId="0" borderId="100" xfId="0" applyNumberFormat="1" applyFont="1" applyFill="1" applyBorder="1" applyAlignment="1" applyProtection="1">
      <alignment horizontal="right" vertical="center"/>
    </xf>
    <xf numFmtId="0" fontId="42" fillId="0" borderId="100" xfId="0" applyFont="1" applyFill="1" applyBorder="1" applyAlignment="1" applyProtection="1">
      <alignment horizontal="center" vertical="center" shrinkToFit="1"/>
    </xf>
    <xf numFmtId="38" fontId="39" fillId="34" borderId="101" xfId="0" applyNumberFormat="1" applyFont="1" applyFill="1" applyBorder="1" applyAlignment="1" applyProtection="1">
      <alignment horizontal="right" vertical="center" shrinkToFit="1"/>
    </xf>
    <xf numFmtId="38" fontId="39" fillId="34" borderId="102" xfId="0" applyNumberFormat="1" applyFont="1" applyFill="1" applyBorder="1" applyAlignment="1" applyProtection="1">
      <alignment horizontal="right" vertical="center" shrinkToFit="1"/>
    </xf>
    <xf numFmtId="38" fontId="41" fillId="0" borderId="114" xfId="43" applyFont="1" applyFill="1" applyBorder="1" applyAlignment="1" applyProtection="1">
      <alignment horizontal="center" vertical="center" shrinkToFit="1"/>
    </xf>
    <xf numFmtId="38" fontId="26" fillId="0" borderId="114" xfId="43" applyFont="1" applyFill="1" applyBorder="1" applyAlignment="1" applyProtection="1">
      <alignment horizontal="right" vertical="center"/>
    </xf>
    <xf numFmtId="38" fontId="26" fillId="0" borderId="30" xfId="43" applyFont="1" applyFill="1" applyBorder="1" applyAlignment="1" applyProtection="1">
      <alignment horizontal="right" vertical="center"/>
    </xf>
    <xf numFmtId="38" fontId="42" fillId="0" borderId="20" xfId="43" applyFont="1" applyBorder="1" applyAlignment="1" applyProtection="1">
      <alignment horizontal="center" vertical="center"/>
    </xf>
    <xf numFmtId="0" fontId="0" fillId="0" borderId="20" xfId="0" applyFont="1" applyBorder="1" applyProtection="1"/>
    <xf numFmtId="0" fontId="42" fillId="0" borderId="42" xfId="0" applyFont="1" applyBorder="1" applyAlignment="1" applyProtection="1">
      <alignment horizontal="center" vertical="center"/>
    </xf>
    <xf numFmtId="38" fontId="41" fillId="24" borderId="82" xfId="43" applyFont="1" applyFill="1" applyBorder="1" applyAlignment="1" applyProtection="1">
      <alignment horizontal="right" vertical="center"/>
    </xf>
    <xf numFmtId="38" fontId="42" fillId="0" borderId="42" xfId="43" applyFont="1" applyBorder="1" applyAlignment="1" applyProtection="1">
      <alignment horizontal="center" vertical="center"/>
    </xf>
    <xf numFmtId="0" fontId="0" fillId="0" borderId="0" xfId="0" applyFont="1" applyBorder="1" applyProtection="1"/>
    <xf numFmtId="38" fontId="39" fillId="0" borderId="0" xfId="43" applyFont="1" applyFill="1" applyBorder="1" applyAlignment="1" applyProtection="1">
      <alignment horizontal="right" vertical="center"/>
    </xf>
    <xf numFmtId="0" fontId="42" fillId="0" borderId="117" xfId="0" applyFont="1" applyFill="1" applyBorder="1" applyAlignment="1" applyProtection="1">
      <alignment horizontal="center" vertical="center" shrinkToFit="1"/>
    </xf>
    <xf numFmtId="38" fontId="39" fillId="34" borderId="116" xfId="43" applyFont="1" applyFill="1" applyBorder="1" applyAlignment="1" applyProtection="1">
      <alignment horizontal="right" vertical="center"/>
    </xf>
    <xf numFmtId="38" fontId="39" fillId="34" borderId="56" xfId="43" applyFont="1" applyFill="1" applyBorder="1" applyAlignment="1" applyProtection="1">
      <alignment horizontal="right" vertical="center"/>
    </xf>
    <xf numFmtId="38" fontId="32" fillId="35" borderId="116" xfId="0" applyNumberFormat="1" applyFont="1" applyFill="1" applyBorder="1" applyAlignment="1" applyProtection="1">
      <alignment horizontal="right" vertical="center"/>
    </xf>
    <xf numFmtId="38" fontId="32" fillId="35" borderId="56" xfId="0" applyNumberFormat="1" applyFont="1" applyFill="1" applyBorder="1" applyAlignment="1" applyProtection="1">
      <alignment horizontal="right" vertical="center"/>
    </xf>
    <xf numFmtId="0" fontId="41" fillId="32" borderId="101" xfId="0" applyFont="1" applyFill="1" applyBorder="1" applyAlignment="1" applyProtection="1">
      <alignment horizontal="center" wrapText="1"/>
    </xf>
    <xf numFmtId="0" fontId="41" fillId="32" borderId="102" xfId="0" applyFont="1" applyFill="1" applyBorder="1" applyAlignment="1" applyProtection="1">
      <alignment horizontal="center" wrapText="1"/>
    </xf>
    <xf numFmtId="0" fontId="41" fillId="32" borderId="0" xfId="0" applyFont="1" applyFill="1" applyBorder="1" applyAlignment="1" applyProtection="1">
      <alignment horizontal="center" wrapText="1"/>
    </xf>
    <xf numFmtId="0" fontId="41" fillId="32" borderId="0" xfId="0" applyFont="1" applyFill="1" applyAlignment="1" applyProtection="1">
      <alignment horizontal="center" wrapText="1"/>
    </xf>
    <xf numFmtId="0" fontId="42" fillId="0" borderId="59" xfId="0" applyFont="1" applyBorder="1" applyAlignment="1" applyProtection="1">
      <alignment horizontal="center" vertical="center"/>
    </xf>
    <xf numFmtId="38" fontId="41" fillId="0" borderId="75" xfId="43" applyFont="1" applyBorder="1" applyAlignment="1" applyProtection="1">
      <alignment horizontal="right" vertical="center"/>
    </xf>
    <xf numFmtId="38" fontId="42" fillId="0" borderId="59" xfId="43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</xf>
    <xf numFmtId="38" fontId="41" fillId="0" borderId="75" xfId="43" applyFont="1" applyBorder="1" applyProtection="1"/>
    <xf numFmtId="38" fontId="41" fillId="0" borderId="0" xfId="43" applyFont="1" applyFill="1" applyBorder="1" applyAlignment="1" applyProtection="1">
      <alignment horizontal="right"/>
    </xf>
    <xf numFmtId="0" fontId="41" fillId="0" borderId="0" xfId="0" applyFont="1" applyBorder="1" applyAlignment="1" applyProtection="1">
      <alignment horizontal="center" vertical="center"/>
    </xf>
    <xf numFmtId="38" fontId="39" fillId="33" borderId="116" xfId="43" applyFont="1" applyFill="1" applyBorder="1" applyAlignment="1" applyProtection="1">
      <alignment horizontal="right" vertical="center"/>
    </xf>
    <xf numFmtId="38" fontId="39" fillId="33" borderId="56" xfId="43" applyFont="1" applyFill="1" applyBorder="1" applyAlignment="1" applyProtection="1">
      <alignment horizontal="right" vertical="center"/>
    </xf>
    <xf numFmtId="38" fontId="43" fillId="32" borderId="101" xfId="0" applyNumberFormat="1" applyFont="1" applyFill="1" applyBorder="1" applyAlignment="1" applyProtection="1"/>
    <xf numFmtId="38" fontId="43" fillId="32" borderId="102" xfId="0" applyNumberFormat="1" applyFont="1" applyFill="1" applyBorder="1" applyAlignment="1" applyProtection="1"/>
    <xf numFmtId="38" fontId="43" fillId="32" borderId="0" xfId="0" applyNumberFormat="1" applyFont="1" applyFill="1" applyBorder="1" applyAlignment="1" applyProtection="1"/>
    <xf numFmtId="38" fontId="43" fillId="32" borderId="0" xfId="0" applyNumberFormat="1" applyFont="1" applyFill="1" applyAlignment="1" applyProtection="1"/>
    <xf numFmtId="38" fontId="0" fillId="0" borderId="0" xfId="0" applyNumberFormat="1" applyFont="1" applyProtection="1"/>
    <xf numFmtId="176" fontId="42" fillId="0" borderId="0" xfId="0" applyNumberFormat="1" applyFont="1" applyBorder="1" applyProtection="1"/>
    <xf numFmtId="176" fontId="0" fillId="0" borderId="0" xfId="0" applyNumberFormat="1" applyFont="1" applyBorder="1" applyProtection="1"/>
    <xf numFmtId="38" fontId="0" fillId="0" borderId="0" xfId="43" applyFont="1" applyAlignment="1" applyProtection="1">
      <alignment horizontal="right"/>
    </xf>
    <xf numFmtId="38" fontId="29" fillId="0" borderId="39" xfId="43" applyFont="1" applyBorder="1" applyAlignment="1" applyProtection="1">
      <alignment horizontal="center" vertical="center"/>
    </xf>
    <xf numFmtId="38" fontId="22" fillId="0" borderId="36" xfId="43" applyFont="1" applyBorder="1" applyProtection="1"/>
    <xf numFmtId="38" fontId="22" fillId="0" borderId="19" xfId="43" applyFont="1" applyBorder="1" applyProtection="1"/>
    <xf numFmtId="38" fontId="22" fillId="0" borderId="25" xfId="43" applyFont="1" applyFill="1" applyBorder="1" applyProtection="1"/>
    <xf numFmtId="38" fontId="22" fillId="0" borderId="39" xfId="43" applyFont="1" applyBorder="1" applyProtection="1"/>
    <xf numFmtId="38" fontId="22" fillId="0" borderId="24" xfId="43" applyFont="1" applyBorder="1" applyProtection="1"/>
    <xf numFmtId="0" fontId="21" fillId="0" borderId="118" xfId="0" applyFont="1" applyBorder="1" applyAlignment="1" applyProtection="1">
      <alignment horizontal="center" vertical="distributed" textRotation="255" wrapText="1"/>
    </xf>
    <xf numFmtId="0" fontId="21" fillId="0" borderId="119" xfId="0" applyFont="1" applyBorder="1" applyAlignment="1" applyProtection="1">
      <alignment horizontal="center" vertical="distributed" textRotation="255" wrapText="1"/>
    </xf>
    <xf numFmtId="0" fontId="21" fillId="0" borderId="120" xfId="0" applyFont="1" applyBorder="1" applyAlignment="1" applyProtection="1">
      <alignment horizontal="center" vertical="distributed" textRotation="255" wrapText="1"/>
    </xf>
    <xf numFmtId="0" fontId="21" fillId="0" borderId="121" xfId="0" applyFont="1" applyBorder="1" applyAlignment="1" applyProtection="1">
      <alignment horizontal="center" vertical="center" textRotation="255" shrinkToFit="1"/>
    </xf>
    <xf numFmtId="0" fontId="21" fillId="0" borderId="119" xfId="0" applyFont="1" applyBorder="1" applyAlignment="1" applyProtection="1">
      <alignment horizontal="center" vertical="center" textRotation="255" shrinkToFit="1"/>
    </xf>
    <xf numFmtId="0" fontId="21" fillId="0" borderId="120" xfId="0" applyFont="1" applyBorder="1" applyAlignment="1" applyProtection="1">
      <alignment horizontal="center" vertical="center" textRotation="255" shrinkToFit="1"/>
    </xf>
    <xf numFmtId="0" fontId="21" fillId="0" borderId="122" xfId="0" applyFont="1" applyBorder="1" applyAlignment="1" applyProtection="1">
      <alignment horizontal="center" vertical="center" textRotation="255" shrinkToFit="1"/>
    </xf>
    <xf numFmtId="0" fontId="22" fillId="0" borderId="118" xfId="0" applyFont="1" applyBorder="1" applyAlignment="1" applyProtection="1">
      <alignment horizontal="center" vertical="top" textRotation="255" wrapText="1"/>
    </xf>
    <xf numFmtId="0" fontId="22" fillId="0" borderId="120" xfId="0" applyFont="1" applyBorder="1" applyAlignment="1" applyProtection="1">
      <alignment horizontal="center" vertical="top" textRotation="255" wrapText="1"/>
    </xf>
    <xf numFmtId="0" fontId="22" fillId="0" borderId="121" xfId="0" applyFont="1" applyBorder="1" applyAlignment="1" applyProtection="1">
      <alignment vertical="top" textRotation="255" wrapText="1"/>
    </xf>
    <xf numFmtId="0" fontId="22" fillId="0" borderId="122" xfId="0" applyFont="1" applyBorder="1" applyAlignment="1" applyProtection="1">
      <alignment vertical="top" textRotation="255" wrapText="1"/>
    </xf>
    <xf numFmtId="38" fontId="29" fillId="0" borderId="61" xfId="43" applyFont="1" applyBorder="1" applyAlignment="1" applyProtection="1">
      <alignment horizontal="center" vertical="center"/>
    </xf>
    <xf numFmtId="38" fontId="22" fillId="0" borderId="27" xfId="43" applyFont="1" applyBorder="1" applyAlignment="1" applyProtection="1">
      <alignment horizontal="right"/>
    </xf>
    <xf numFmtId="38" fontId="22" fillId="0" borderId="26" xfId="43" applyFont="1" applyBorder="1" applyAlignment="1" applyProtection="1">
      <alignment horizontal="right"/>
    </xf>
    <xf numFmtId="38" fontId="22" fillId="0" borderId="47" xfId="43" applyFont="1" applyBorder="1" applyAlignment="1" applyProtection="1">
      <alignment horizontal="center"/>
    </xf>
    <xf numFmtId="38" fontId="22" fillId="0" borderId="45" xfId="43" applyFont="1" applyBorder="1" applyAlignment="1" applyProtection="1">
      <alignment horizontal="right"/>
    </xf>
    <xf numFmtId="38" fontId="22" fillId="0" borderId="13" xfId="43" applyFont="1" applyBorder="1" applyAlignment="1" applyProtection="1">
      <alignment horizontal="right"/>
    </xf>
    <xf numFmtId="38" fontId="22" fillId="0" borderId="51" xfId="43" applyFont="1" applyBorder="1" applyAlignment="1" applyProtection="1">
      <alignment horizontal="right"/>
    </xf>
    <xf numFmtId="38" fontId="22" fillId="0" borderId="78" xfId="43" applyFont="1" applyFill="1" applyBorder="1" applyProtection="1"/>
    <xf numFmtId="38" fontId="22" fillId="0" borderId="17" xfId="43" applyFont="1" applyBorder="1" applyProtection="1"/>
    <xf numFmtId="38" fontId="22" fillId="0" borderId="16" xfId="43" applyFont="1" applyFill="1" applyBorder="1" applyProtection="1"/>
    <xf numFmtId="38" fontId="22" fillId="0" borderId="48" xfId="43" applyFont="1" applyBorder="1" applyProtection="1"/>
    <xf numFmtId="0" fontId="22" fillId="0" borderId="46" xfId="0" applyFont="1" applyBorder="1" applyAlignment="1" applyProtection="1">
      <alignment horizontal="center" vertical="center"/>
    </xf>
    <xf numFmtId="0" fontId="22" fillId="0" borderId="21" xfId="0" applyFont="1" applyBorder="1" applyProtection="1"/>
    <xf numFmtId="38" fontId="22" fillId="0" borderId="21" xfId="43" applyFont="1" applyBorder="1" applyProtection="1"/>
    <xf numFmtId="0" fontId="22" fillId="0" borderId="54" xfId="0" applyFont="1" applyFill="1" applyBorder="1" applyProtection="1"/>
    <xf numFmtId="38" fontId="22" fillId="0" borderId="0" xfId="43" applyFont="1" applyProtection="1"/>
    <xf numFmtId="9" fontId="22" fillId="0" borderId="46" xfId="0" applyNumberFormat="1" applyFont="1" applyBorder="1" applyAlignment="1" applyProtection="1">
      <alignment horizontal="right"/>
    </xf>
    <xf numFmtId="9" fontId="22" fillId="0" borderId="63" xfId="0" applyNumberFormat="1" applyFont="1" applyBorder="1" applyAlignment="1" applyProtection="1">
      <alignment horizontal="right"/>
    </xf>
    <xf numFmtId="9" fontId="22" fillId="0" borderId="21" xfId="0" applyNumberFormat="1" applyFont="1" applyBorder="1" applyAlignment="1" applyProtection="1">
      <alignment horizontal="right"/>
    </xf>
    <xf numFmtId="9" fontId="22" fillId="0" borderId="54" xfId="0" applyNumberFormat="1" applyFont="1" applyBorder="1" applyAlignment="1" applyProtection="1">
      <alignment horizontal="right"/>
    </xf>
    <xf numFmtId="38" fontId="22" fillId="0" borderId="61" xfId="43" applyFont="1" applyBorder="1" applyProtection="1"/>
    <xf numFmtId="38" fontId="22" fillId="0" borderId="37" xfId="43" applyFont="1" applyBorder="1" applyProtection="1"/>
    <xf numFmtId="38" fontId="22" fillId="0" borderId="37" xfId="43" applyFont="1" applyBorder="1" applyAlignment="1" applyProtection="1">
      <alignment horizontal="center"/>
    </xf>
    <xf numFmtId="38" fontId="22" fillId="0" borderId="34" xfId="43" applyFont="1" applyBorder="1" applyProtection="1"/>
    <xf numFmtId="38" fontId="0" fillId="0" borderId="59" xfId="43" applyFont="1" applyBorder="1" applyAlignment="1" applyProtection="1">
      <alignment horizontal="center" vertical="center"/>
    </xf>
    <xf numFmtId="38" fontId="0" fillId="0" borderId="69" xfId="43" applyFont="1" applyBorder="1" applyProtection="1"/>
    <xf numFmtId="38" fontId="0" fillId="0" borderId="29" xfId="43" applyFont="1" applyBorder="1" applyProtection="1"/>
    <xf numFmtId="38" fontId="0" fillId="0" borderId="32" xfId="43" applyFont="1" applyBorder="1" applyProtection="1"/>
    <xf numFmtId="38" fontId="0" fillId="0" borderId="53" xfId="43" applyFont="1" applyBorder="1" applyProtection="1"/>
    <xf numFmtId="38" fontId="0" fillId="0" borderId="31" xfId="43" applyFont="1" applyBorder="1" applyProtection="1"/>
    <xf numFmtId="0" fontId="25" fillId="0" borderId="46" xfId="0" applyFont="1" applyBorder="1" applyProtection="1"/>
    <xf numFmtId="0" fontId="25" fillId="0" borderId="21" xfId="0" applyFont="1" applyBorder="1" applyProtection="1"/>
    <xf numFmtId="0" fontId="25" fillId="0" borderId="63" xfId="0" applyFont="1" applyBorder="1" applyProtection="1"/>
    <xf numFmtId="0" fontId="25" fillId="0" borderId="54" xfId="0" applyFont="1" applyBorder="1" applyProtection="1"/>
    <xf numFmtId="177" fontId="0" fillId="0" borderId="59" xfId="43" applyNumberFormat="1" applyFont="1" applyBorder="1" applyProtection="1"/>
    <xf numFmtId="177" fontId="0" fillId="0" borderId="60" xfId="43" applyNumberFormat="1" applyFont="1" applyBorder="1" applyProtection="1"/>
    <xf numFmtId="177" fontId="0" fillId="0" borderId="123" xfId="43" applyNumberFormat="1" applyFont="1" applyBorder="1" applyProtection="1"/>
    <xf numFmtId="177" fontId="0" fillId="0" borderId="75" xfId="43" applyNumberFormat="1" applyFont="1" applyBorder="1" applyProtection="1"/>
    <xf numFmtId="38" fontId="0" fillId="0" borderId="59" xfId="43" applyFont="1" applyBorder="1" applyProtection="1"/>
    <xf numFmtId="38" fontId="0" fillId="0" borderId="60" xfId="43" applyFont="1" applyBorder="1" applyProtection="1"/>
    <xf numFmtId="38" fontId="0" fillId="0" borderId="75" xfId="43" applyFont="1" applyBorder="1" applyProtection="1"/>
    <xf numFmtId="0" fontId="22" fillId="0" borderId="39" xfId="0" applyFont="1" applyBorder="1" applyAlignment="1" applyProtection="1">
      <alignment horizontal="center"/>
    </xf>
    <xf numFmtId="0" fontId="21" fillId="0" borderId="24" xfId="0" applyFont="1" applyBorder="1" applyAlignment="1" applyProtection="1">
      <alignment horizontal="center"/>
    </xf>
    <xf numFmtId="0" fontId="0" fillId="0" borderId="25" xfId="0" applyFont="1" applyBorder="1" applyProtection="1"/>
    <xf numFmtId="0" fontId="0" fillId="0" borderId="22" xfId="0" applyFont="1" applyBorder="1" applyProtection="1"/>
    <xf numFmtId="0" fontId="0" fillId="0" borderId="100" xfId="0" applyFont="1" applyBorder="1" applyProtection="1"/>
    <xf numFmtId="38" fontId="0" fillId="0" borderId="0" xfId="43" applyFont="1" applyBorder="1" applyAlignment="1" applyProtection="1"/>
    <xf numFmtId="0" fontId="22" fillId="0" borderId="45" xfId="0" applyFont="1" applyBorder="1" applyAlignment="1" applyProtection="1">
      <alignment horizontal="center"/>
    </xf>
    <xf numFmtId="0" fontId="21" fillId="0" borderId="34" xfId="0" applyFont="1" applyBorder="1" applyAlignment="1" applyProtection="1">
      <alignment horizontal="center"/>
    </xf>
    <xf numFmtId="0" fontId="0" fillId="0" borderId="47" xfId="0" applyFont="1" applyBorder="1" applyProtection="1"/>
    <xf numFmtId="38" fontId="22" fillId="0" borderId="0" xfId="43" applyFont="1" applyBorder="1" applyAlignment="1" applyProtection="1">
      <alignment horizontal="center"/>
    </xf>
    <xf numFmtId="0" fontId="21" fillId="0" borderId="13" xfId="0" applyFont="1" applyBorder="1" applyAlignment="1" applyProtection="1">
      <alignment horizontal="center"/>
    </xf>
    <xf numFmtId="0" fontId="0" fillId="0" borderId="27" xfId="0" applyFont="1" applyBorder="1" applyProtection="1"/>
    <xf numFmtId="0" fontId="0" fillId="0" borderId="51" xfId="0" applyFont="1" applyBorder="1" applyProtection="1"/>
    <xf numFmtId="0" fontId="22" fillId="0" borderId="42" xfId="0" applyFont="1" applyBorder="1" applyAlignment="1" applyProtection="1">
      <alignment horizontal="center"/>
    </xf>
    <xf numFmtId="0" fontId="21" fillId="0" borderId="43" xfId="0" applyFont="1" applyBorder="1" applyAlignment="1" applyProtection="1">
      <alignment horizontal="center"/>
    </xf>
    <xf numFmtId="38" fontId="22" fillId="0" borderId="43" xfId="43" applyFont="1" applyFill="1" applyBorder="1" applyProtection="1"/>
    <xf numFmtId="38" fontId="22" fillId="0" borderId="82" xfId="43" applyFont="1" applyFill="1" applyBorder="1" applyProtection="1"/>
    <xf numFmtId="0" fontId="0" fillId="0" borderId="0" xfId="0" applyFont="1" applyAlignment="1" applyProtection="1"/>
    <xf numFmtId="0" fontId="22" fillId="0" borderId="46" xfId="0" applyFont="1" applyBorder="1" applyAlignment="1" applyProtection="1">
      <alignment horizontal="center"/>
    </xf>
    <xf numFmtId="0" fontId="21" fillId="0" borderId="21" xfId="0" applyFont="1" applyBorder="1" applyAlignment="1" applyProtection="1">
      <alignment horizontal="center"/>
    </xf>
    <xf numFmtId="38" fontId="22" fillId="0" borderId="54" xfId="43" applyFont="1" applyBorder="1" applyProtection="1"/>
    <xf numFmtId="0" fontId="0" fillId="0" borderId="21" xfId="0" applyFont="1" applyBorder="1" applyProtection="1"/>
    <xf numFmtId="0" fontId="0" fillId="0" borderId="54" xfId="0" applyFont="1" applyBorder="1" applyProtection="1"/>
    <xf numFmtId="0" fontId="0" fillId="0" borderId="46" xfId="0" applyBorder="1" applyAlignment="1"/>
    <xf numFmtId="0" fontId="0" fillId="0" borderId="21" xfId="0" applyFont="1" applyFill="1" applyBorder="1" applyAlignment="1" applyProtection="1">
      <alignment horizontal="right"/>
    </xf>
    <xf numFmtId="0" fontId="0" fillId="0" borderId="54" xfId="0" applyFont="1" applyFill="1" applyBorder="1" applyAlignment="1" applyProtection="1">
      <alignment horizontal="right"/>
    </xf>
    <xf numFmtId="0" fontId="0" fillId="0" borderId="59" xfId="0" applyBorder="1" applyAlignment="1"/>
    <xf numFmtId="0" fontId="21" fillId="0" borderId="60" xfId="0" applyFont="1" applyBorder="1" applyAlignment="1" applyProtection="1">
      <alignment horizontal="center"/>
    </xf>
    <xf numFmtId="0" fontId="0" fillId="0" borderId="60" xfId="0" applyFont="1" applyBorder="1" applyProtection="1"/>
    <xf numFmtId="0" fontId="0" fillId="0" borderId="60" xfId="0" applyFont="1" applyBorder="1" applyAlignment="1" applyProtection="1"/>
    <xf numFmtId="0" fontId="0" fillId="0" borderId="75" xfId="0" applyFont="1" applyBorder="1" applyProtection="1"/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給与支払報告書（個人明細書）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dxfs count="2">
    <dxf>
      <fill>
        <patternFill patternType="solid">
          <bgColor theme="4" tint="0.8"/>
        </patternFill>
      </fill>
      <border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ill>
        <patternFill patternType="solid">
          <bgColor theme="4" tint="0.6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CFFFF"/>
      <color rgb="FFA0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9525</xdr:colOff>
      <xdr:row>1</xdr:row>
      <xdr:rowOff>9525</xdr:rowOff>
    </xdr:from>
    <xdr:to xmlns:xdr="http://schemas.openxmlformats.org/drawingml/2006/spreadsheetDrawing">
      <xdr:col>5</xdr:col>
      <xdr:colOff>0</xdr:colOff>
      <xdr:row>2</xdr:row>
      <xdr:rowOff>180975</xdr:rowOff>
    </xdr:to>
    <xdr:sp macro="" textlink="">
      <xdr:nvSpPr>
        <xdr:cNvPr id="1844" name="Oval 3"/>
        <xdr:cNvSpPr>
          <a:spLocks noChangeArrowheads="1"/>
        </xdr:cNvSpPr>
      </xdr:nvSpPr>
      <xdr:spPr>
        <a:xfrm>
          <a:off x="247650" y="104775"/>
          <a:ext cx="361950" cy="3429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BB142"/>
  <sheetViews>
    <sheetView tabSelected="1" zoomScale="130" zoomScaleNormal="130" workbookViewId="0">
      <selection activeCell="L11" sqref="L11:T13"/>
    </sheetView>
  </sheetViews>
  <sheetFormatPr defaultRowHeight="13.5"/>
  <cols>
    <col min="1" max="1" width="1" style="1" customWidth="1"/>
    <col min="2" max="2" width="2.125" style="1" customWidth="1"/>
    <col min="3" max="6" width="1.625" style="1" customWidth="1"/>
    <col min="7" max="8" width="2" style="1" customWidth="1"/>
    <col min="9" max="9" width="2.375" style="1" customWidth="1"/>
    <col min="10" max="12" width="2" style="1" customWidth="1"/>
    <col min="13" max="21" width="2.125" style="1" customWidth="1"/>
    <col min="22" max="22" width="2.625" style="1" customWidth="1"/>
    <col min="23" max="27" width="2" style="1" customWidth="1"/>
    <col min="28" max="29" width="2.5" style="1" customWidth="1"/>
    <col min="30" max="30" width="2" style="1" customWidth="1"/>
    <col min="31" max="32" width="2.25" style="1" customWidth="1"/>
    <col min="33" max="33" width="1.5" style="1" customWidth="1"/>
    <col min="34" max="34" width="1.875" style="1" customWidth="1"/>
    <col min="35" max="35" width="1.75" style="1" customWidth="1"/>
    <col min="36" max="36" width="1.875" style="1" customWidth="1"/>
    <col min="37" max="37" width="1.5" style="1" customWidth="1"/>
    <col min="38" max="38" width="1.875" style="1" customWidth="1"/>
    <col min="39" max="41" width="1.5" style="1" customWidth="1"/>
    <col min="42" max="46" width="1.625" style="1" customWidth="1"/>
    <col min="47" max="47" width="1.875" style="1" customWidth="1"/>
    <col min="48" max="48" width="1.625" style="1" customWidth="1"/>
    <col min="49" max="53" width="7.875" style="1" customWidth="1"/>
    <col min="54" max="54" width="9" style="1" bestFit="1" customWidth="1"/>
    <col min="55" max="16384" width="9" style="1" customWidth="1"/>
  </cols>
  <sheetData>
    <row r="1" spans="1:54" ht="7.5" customHeight="1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441"/>
    </row>
    <row r="2" spans="1:54">
      <c r="A2" s="4"/>
      <c r="C2" s="13">
        <f>計算!A1+1</f>
        <v>8</v>
      </c>
      <c r="D2" s="13"/>
      <c r="E2" s="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 t="s">
        <v>10</v>
      </c>
      <c r="Y2" s="2"/>
      <c r="Z2" s="265"/>
      <c r="AA2" s="273" t="s">
        <v>16</v>
      </c>
      <c r="AB2" s="282"/>
      <c r="AC2" s="282"/>
      <c r="AD2" s="282"/>
      <c r="AE2" s="282"/>
      <c r="AF2" s="282"/>
      <c r="AG2" s="282"/>
      <c r="AH2" s="282"/>
      <c r="AI2" s="282"/>
      <c r="AJ2" s="282"/>
      <c r="AK2" s="282" t="s">
        <v>16</v>
      </c>
      <c r="AL2" s="282"/>
      <c r="AM2" s="282"/>
      <c r="AN2" s="282"/>
      <c r="AO2" s="282"/>
      <c r="AP2" s="282"/>
      <c r="AQ2" s="282"/>
      <c r="AR2" s="282"/>
      <c r="AS2" s="282"/>
      <c r="AT2" s="282"/>
      <c r="AU2" s="412"/>
      <c r="AV2" s="442"/>
    </row>
    <row r="3" spans="1:54" ht="14.25">
      <c r="A3" s="4"/>
      <c r="C3" s="14"/>
      <c r="D3" s="14"/>
      <c r="E3" s="14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236"/>
      <c r="AA3" s="274"/>
      <c r="AB3" s="283"/>
      <c r="AC3" s="283"/>
      <c r="AD3" s="283"/>
      <c r="AE3" s="283"/>
      <c r="AF3" s="283"/>
      <c r="AG3" s="283"/>
      <c r="AH3" s="283"/>
      <c r="AI3" s="283"/>
      <c r="AJ3" s="283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413"/>
      <c r="AV3" s="442"/>
    </row>
    <row r="4" spans="1:54">
      <c r="A4" s="4"/>
      <c r="C4" s="15"/>
      <c r="D4" s="48"/>
      <c r="E4" s="68"/>
      <c r="F4" s="81" t="s">
        <v>22</v>
      </c>
      <c r="G4" s="93"/>
      <c r="H4" s="105"/>
      <c r="I4" s="81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5"/>
      <c r="Y4" s="259"/>
      <c r="Z4" s="266" t="s">
        <v>2</v>
      </c>
      <c r="AA4" s="275"/>
      <c r="AB4" s="275"/>
      <c r="AC4" s="275"/>
      <c r="AD4" s="275"/>
      <c r="AE4" s="275"/>
      <c r="AF4" s="312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414"/>
      <c r="AV4" s="442"/>
    </row>
    <row r="5" spans="1:54" ht="11.25" customHeight="1">
      <c r="A5" s="4"/>
      <c r="B5" s="8"/>
      <c r="C5" s="16" t="s">
        <v>15</v>
      </c>
      <c r="D5" s="42"/>
      <c r="E5" s="66"/>
      <c r="F5" s="15"/>
      <c r="G5" s="68"/>
      <c r="H5" s="106" t="str">
        <f>IF((L11+C22+F21+N21+X21+AI21+J27+R27+Z27+AH27+AR27+J31+Z33+AH33+AR33)+COUNTA(C18,G17,Q17,U18,W18,AA18,AC18,AG17,AJ18,AM18,AP17)&gt;0,IF(COUNTIF(AW12:AW40,"&lt;&gt;ok")=0,"計算OK",IF(COUNTIF(AW12:AW40,"&lt;&gt;ok")-COUNTIF(AW32,"&lt;&gt;ok")=0,"要確認","エラーが有ります")),"入力できます")</f>
        <v>入力できます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253"/>
      <c r="Y5" s="260" t="s">
        <v>23</v>
      </c>
      <c r="Z5" s="78" t="s">
        <v>11</v>
      </c>
      <c r="AA5" s="91"/>
      <c r="AB5" s="91"/>
      <c r="AC5" s="91"/>
      <c r="AD5" s="91"/>
      <c r="AE5" s="91"/>
      <c r="AF5" s="313"/>
      <c r="AG5" s="322"/>
      <c r="AH5" s="322"/>
      <c r="AI5" s="322"/>
      <c r="AJ5" s="322"/>
      <c r="AK5" s="322"/>
      <c r="AL5" s="322"/>
      <c r="AM5" s="367"/>
      <c r="AN5" s="378" t="s">
        <v>9</v>
      </c>
      <c r="AO5" s="322"/>
      <c r="AP5" s="322"/>
      <c r="AQ5" s="322"/>
      <c r="AR5" s="322"/>
      <c r="AS5" s="322"/>
      <c r="AT5" s="322"/>
      <c r="AU5" s="415"/>
      <c r="AV5" s="442"/>
    </row>
    <row r="6" spans="1:54" ht="11.25" customHeight="1">
      <c r="A6" s="4"/>
      <c r="B6" s="8"/>
      <c r="C6" s="16"/>
      <c r="D6" s="42"/>
      <c r="E6" s="66"/>
      <c r="F6" s="16" t="s">
        <v>24</v>
      </c>
      <c r="G6" s="66"/>
      <c r="H6" s="107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254"/>
      <c r="Y6" s="260"/>
      <c r="Z6" s="76" t="s">
        <v>25</v>
      </c>
      <c r="AA6" s="80"/>
      <c r="AB6" s="80"/>
      <c r="AC6" s="80"/>
      <c r="AD6" s="80"/>
      <c r="AE6" s="80"/>
      <c r="AF6" s="314"/>
      <c r="AG6" s="323"/>
      <c r="AH6" s="323"/>
      <c r="AI6" s="323"/>
      <c r="AJ6" s="323"/>
      <c r="AK6" s="323"/>
      <c r="AL6" s="323"/>
      <c r="AM6" s="368"/>
      <c r="AN6" s="379"/>
      <c r="AO6" s="323"/>
      <c r="AP6" s="323"/>
      <c r="AQ6" s="323"/>
      <c r="AR6" s="323"/>
      <c r="AS6" s="323"/>
      <c r="AT6" s="323"/>
      <c r="AU6" s="416"/>
      <c r="AV6" s="442"/>
    </row>
    <row r="7" spans="1:54" ht="12.75" customHeight="1">
      <c r="A7" s="4"/>
      <c r="B7" s="8"/>
      <c r="C7" s="16" t="s">
        <v>13</v>
      </c>
      <c r="D7" s="42"/>
      <c r="E7" s="66"/>
      <c r="F7" s="16"/>
      <c r="G7" s="66"/>
      <c r="H7" s="107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254"/>
      <c r="Y7" s="260"/>
      <c r="Z7" s="266" t="s">
        <v>26</v>
      </c>
      <c r="AA7" s="275"/>
      <c r="AB7" s="275"/>
      <c r="AC7" s="275"/>
      <c r="AD7" s="275"/>
      <c r="AE7" s="275"/>
      <c r="AF7" s="315"/>
      <c r="AG7" s="324"/>
      <c r="AH7" s="324"/>
      <c r="AI7" s="324"/>
      <c r="AJ7" s="324"/>
      <c r="AK7" s="324"/>
      <c r="AL7" s="324"/>
      <c r="AM7" s="324"/>
      <c r="AN7" s="324" t="s">
        <v>9</v>
      </c>
      <c r="AO7" s="324"/>
      <c r="AP7" s="324"/>
      <c r="AQ7" s="324"/>
      <c r="AR7" s="324"/>
      <c r="AS7" s="324"/>
      <c r="AT7" s="324"/>
      <c r="AU7" s="417"/>
      <c r="AV7" s="442"/>
      <c r="AW7" s="443" t="s">
        <v>33</v>
      </c>
      <c r="AX7" s="443" t="s">
        <v>38</v>
      </c>
      <c r="AY7" s="443" t="s">
        <v>6</v>
      </c>
      <c r="AZ7" s="443" t="s">
        <v>40</v>
      </c>
      <c r="BA7" s="443" t="s">
        <v>44</v>
      </c>
    </row>
    <row r="8" spans="1:54" ht="11.25" customHeight="1">
      <c r="A8" s="4"/>
      <c r="B8" s="8"/>
      <c r="C8" s="16"/>
      <c r="D8" s="42"/>
      <c r="E8" s="66"/>
      <c r="F8" s="16" t="s">
        <v>46</v>
      </c>
      <c r="G8" s="66"/>
      <c r="H8" s="107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254"/>
      <c r="Y8" s="260" t="s">
        <v>47</v>
      </c>
      <c r="Z8" s="15"/>
      <c r="AA8" s="276"/>
      <c r="AB8" s="276"/>
      <c r="AC8" s="276"/>
      <c r="AD8" s="276"/>
      <c r="AE8" s="276"/>
      <c r="AF8" s="316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418"/>
      <c r="AV8" s="442"/>
      <c r="AW8" s="444">
        <f>ROUNDUP(IF(R27&gt;0,IF(R27&lt;25001,R27,IF(R27&lt;50001,R27*0.5+12500,IF(R27&lt;100000,R27*0.25+25000,50000))),0),0)</f>
        <v>0</v>
      </c>
      <c r="AX8" s="444">
        <f>ROUNDUP(IF(J27&gt;0,IF(J27&lt;20001,J27,IF(J27&lt;40001,J27*0.5+10000,IF(J27&lt;80000,J27*0.25+20000,40000))),0),0)</f>
        <v>0</v>
      </c>
      <c r="AY8" s="444">
        <f>ROUNDUP(IF(AR27&gt;0,IF(AR27&lt;25001,AR27,IF(AR27&lt;50001,AR27*0.5+12500,IF(AR27&lt;100000,AR27*0.25+25000,50000))),0),0)</f>
        <v>0</v>
      </c>
      <c r="AZ8" s="444">
        <f>ROUNDUP(IF(AH27&gt;0,IF(AH27&lt;20001,AH27,IF(AH27&lt;40001,AH27*0.5+10000,IF(AH27&lt;80000,AH27*0.25+20000,40000))),0),0)</f>
        <v>0</v>
      </c>
      <c r="BA8" s="444">
        <f>ROUNDUP(IF(Z27&gt;0,IF(Z27&lt;20001,Z27,IF(Z27&lt;40001,Z27*0.5+10000,IF(Z27&lt;80000,Z27*0.25+20000,40000))),0),0)</f>
        <v>0</v>
      </c>
    </row>
    <row r="9" spans="1:54" ht="11.25" customHeight="1">
      <c r="A9" s="4"/>
      <c r="B9" s="8"/>
      <c r="C9" s="17" t="s">
        <v>50</v>
      </c>
      <c r="D9" s="49"/>
      <c r="E9" s="67"/>
      <c r="F9" s="17"/>
      <c r="G9" s="67"/>
      <c r="H9" s="108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255"/>
      <c r="Y9" s="261"/>
      <c r="Z9" s="267"/>
      <c r="AA9" s="277"/>
      <c r="AB9" s="277"/>
      <c r="AC9" s="277"/>
      <c r="AD9" s="277"/>
      <c r="AE9" s="277"/>
      <c r="AF9" s="317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419"/>
      <c r="AV9" s="442"/>
      <c r="AW9" s="1">
        <f>IF(SUM(AW8:AX8)&lt;40000,SUM(AW8:AX8),40000)</f>
        <v>0</v>
      </c>
      <c r="AX9" s="449">
        <f>MAX(AW9,AW8)</f>
        <v>0</v>
      </c>
      <c r="AY9" s="1">
        <f>IF(SUM(AY8:AZ8)&lt;40000,SUM(AY8:AZ8),40000)</f>
        <v>0</v>
      </c>
      <c r="AZ9" s="449">
        <f>MAX(AY9,AY8)</f>
        <v>0</v>
      </c>
      <c r="BA9" s="453">
        <f>BA8</f>
        <v>0</v>
      </c>
    </row>
    <row r="10" spans="1:54" ht="13.5" customHeight="1">
      <c r="A10" s="4"/>
      <c r="B10" s="8"/>
      <c r="C10" s="18" t="s">
        <v>52</v>
      </c>
      <c r="D10" s="50"/>
      <c r="E10" s="50"/>
      <c r="F10" s="50"/>
      <c r="G10" s="50"/>
      <c r="H10" s="50"/>
      <c r="I10" s="50"/>
      <c r="J10" s="50"/>
      <c r="K10" s="50"/>
      <c r="L10" s="163" t="s">
        <v>37</v>
      </c>
      <c r="M10" s="163"/>
      <c r="N10" s="163"/>
      <c r="O10" s="163"/>
      <c r="P10" s="163"/>
      <c r="Q10" s="163"/>
      <c r="R10" s="163"/>
      <c r="S10" s="163"/>
      <c r="T10" s="163"/>
      <c r="U10" s="227" t="s">
        <v>5</v>
      </c>
      <c r="V10" s="227"/>
      <c r="W10" s="227"/>
      <c r="X10" s="227"/>
      <c r="Y10" s="227"/>
      <c r="Z10" s="227"/>
      <c r="AA10" s="227"/>
      <c r="AB10" s="227"/>
      <c r="AC10" s="291" t="s">
        <v>20</v>
      </c>
      <c r="AD10" s="291"/>
      <c r="AE10" s="291"/>
      <c r="AF10" s="291"/>
      <c r="AG10" s="291"/>
      <c r="AH10" s="291"/>
      <c r="AI10" s="291"/>
      <c r="AJ10" s="291"/>
      <c r="AK10" s="291"/>
      <c r="AL10" s="291"/>
      <c r="AM10" s="91" t="s">
        <v>54</v>
      </c>
      <c r="AN10" s="91"/>
      <c r="AO10" s="91"/>
      <c r="AP10" s="91"/>
      <c r="AQ10" s="91"/>
      <c r="AR10" s="91"/>
      <c r="AS10" s="91"/>
      <c r="AT10" s="91"/>
      <c r="AU10" s="134"/>
      <c r="AV10" s="442"/>
      <c r="AW10" s="445" t="s">
        <v>41</v>
      </c>
      <c r="AX10" s="450"/>
      <c r="AY10" s="42" t="s">
        <v>31</v>
      </c>
      <c r="AZ10" s="42"/>
    </row>
    <row r="11" spans="1:54" ht="13.5" customHeight="1">
      <c r="A11" s="4"/>
      <c r="B11" s="9" t="s">
        <v>29</v>
      </c>
      <c r="C11" s="19"/>
      <c r="D11" s="51"/>
      <c r="E11" s="51"/>
      <c r="F11" s="51"/>
      <c r="G11" s="51"/>
      <c r="H11" s="51"/>
      <c r="I11" s="51"/>
      <c r="J11" s="51"/>
      <c r="K11" s="150"/>
      <c r="L11" s="164"/>
      <c r="M11" s="176"/>
      <c r="N11" s="176"/>
      <c r="O11" s="176"/>
      <c r="P11" s="176"/>
      <c r="Q11" s="176"/>
      <c r="R11" s="176"/>
      <c r="S11" s="176"/>
      <c r="T11" s="219"/>
      <c r="U11" s="228">
        <f>計算!E4</f>
        <v>0</v>
      </c>
      <c r="V11" s="237"/>
      <c r="W11" s="237"/>
      <c r="X11" s="237"/>
      <c r="Y11" s="237"/>
      <c r="Z11" s="237"/>
      <c r="AA11" s="237"/>
      <c r="AB11" s="284"/>
      <c r="AC11" s="292">
        <f>計算!F4</f>
        <v>950000</v>
      </c>
      <c r="AD11" s="297"/>
      <c r="AE11" s="297"/>
      <c r="AF11" s="297"/>
      <c r="AG11" s="297"/>
      <c r="AH11" s="297"/>
      <c r="AI11" s="297"/>
      <c r="AJ11" s="297"/>
      <c r="AK11" s="297"/>
      <c r="AL11" s="360"/>
      <c r="AM11" s="369" t="str">
        <f>"算出税額　"&amp;TEXT(計算!G9,"#,###")</f>
        <v>算出税額　</v>
      </c>
      <c r="AN11" s="380"/>
      <c r="AO11" s="380"/>
      <c r="AP11" s="380"/>
      <c r="AQ11" s="380"/>
      <c r="AR11" s="380"/>
      <c r="AS11" s="380"/>
      <c r="AT11" s="380"/>
      <c r="AU11" s="420"/>
      <c r="AV11" s="442"/>
      <c r="AW11" s="445"/>
      <c r="AX11" s="450"/>
      <c r="AY11" s="451">
        <f>IF(AX9+AZ9+BA9&lt;=120000,AX9+AZ9+BA9,IF(12000&lt;=AX9+AZ9+BA9,120000))</f>
        <v>0</v>
      </c>
      <c r="AZ11" s="451"/>
      <c r="BB11" s="454"/>
    </row>
    <row r="12" spans="1:54" ht="12.75" customHeight="1">
      <c r="A12" s="4"/>
      <c r="B12" s="9"/>
      <c r="C12" s="20"/>
      <c r="D12" s="52"/>
      <c r="E12" s="52"/>
      <c r="F12" s="52"/>
      <c r="G12" s="52"/>
      <c r="H12" s="52"/>
      <c r="I12" s="52"/>
      <c r="J12" s="52"/>
      <c r="K12" s="151"/>
      <c r="L12" s="165"/>
      <c r="M12" s="177"/>
      <c r="N12" s="177"/>
      <c r="O12" s="177"/>
      <c r="P12" s="177"/>
      <c r="Q12" s="177"/>
      <c r="R12" s="177"/>
      <c r="S12" s="177"/>
      <c r="T12" s="220"/>
      <c r="U12" s="229"/>
      <c r="V12" s="238"/>
      <c r="W12" s="238"/>
      <c r="X12" s="238"/>
      <c r="Y12" s="238"/>
      <c r="Z12" s="238"/>
      <c r="AA12" s="238"/>
      <c r="AB12" s="285"/>
      <c r="AC12" s="229"/>
      <c r="AD12" s="238"/>
      <c r="AE12" s="238"/>
      <c r="AF12" s="238"/>
      <c r="AG12" s="238"/>
      <c r="AH12" s="238"/>
      <c r="AI12" s="238"/>
      <c r="AJ12" s="238"/>
      <c r="AK12" s="238"/>
      <c r="AL12" s="285"/>
      <c r="AM12" s="370"/>
      <c r="AN12" s="381"/>
      <c r="AO12" s="381"/>
      <c r="AP12" s="381"/>
      <c r="AQ12" s="381"/>
      <c r="AR12" s="381"/>
      <c r="AS12" s="381"/>
      <c r="AT12" s="381"/>
      <c r="AU12" s="421"/>
      <c r="AV12" s="442"/>
      <c r="AW12" s="446" t="str">
        <f>IF(AH33&gt;L22,"国民年金保険料&gt;社保料控除となっています。（国民年金は内数を記載）","ok")</f>
        <v>ok</v>
      </c>
    </row>
    <row r="13" spans="1:54" ht="12.75" customHeight="1">
      <c r="A13" s="4"/>
      <c r="B13" s="9"/>
      <c r="C13" s="21"/>
      <c r="D13" s="53"/>
      <c r="E13" s="53"/>
      <c r="F13" s="53"/>
      <c r="G13" s="53"/>
      <c r="H13" s="53"/>
      <c r="I13" s="53"/>
      <c r="J13" s="53"/>
      <c r="K13" s="152"/>
      <c r="L13" s="166"/>
      <c r="M13" s="178"/>
      <c r="N13" s="178"/>
      <c r="O13" s="178"/>
      <c r="P13" s="178"/>
      <c r="Q13" s="178"/>
      <c r="R13" s="178"/>
      <c r="S13" s="178"/>
      <c r="T13" s="221"/>
      <c r="U13" s="230"/>
      <c r="V13" s="239"/>
      <c r="W13" s="239"/>
      <c r="X13" s="239"/>
      <c r="Y13" s="239"/>
      <c r="Z13" s="239"/>
      <c r="AA13" s="239"/>
      <c r="AB13" s="286"/>
      <c r="AC13" s="293"/>
      <c r="AD13" s="298"/>
      <c r="AE13" s="298"/>
      <c r="AF13" s="298"/>
      <c r="AG13" s="298"/>
      <c r="AH13" s="298"/>
      <c r="AI13" s="298"/>
      <c r="AJ13" s="298"/>
      <c r="AK13" s="298"/>
      <c r="AL13" s="361"/>
      <c r="AM13" s="371"/>
      <c r="AN13" s="382"/>
      <c r="AO13" s="382"/>
      <c r="AP13" s="382"/>
      <c r="AQ13" s="382"/>
      <c r="AR13" s="382"/>
      <c r="AS13" s="382"/>
      <c r="AT13" s="382"/>
      <c r="AU13" s="422"/>
      <c r="AV13" s="442"/>
      <c r="AW13" s="446" t="str">
        <f>IF(AM21&gt;計算!K24,"借入金控除エラー(正"&amp;計算!K24&amp;"円)","ok")</f>
        <v>ok</v>
      </c>
    </row>
    <row r="14" spans="1:54" ht="12" customHeight="1">
      <c r="A14" s="4"/>
      <c r="B14" s="9"/>
      <c r="C14" s="22" t="s">
        <v>57</v>
      </c>
      <c r="D14" s="54"/>
      <c r="E14" s="54"/>
      <c r="F14" s="54"/>
      <c r="G14" s="54"/>
      <c r="H14" s="109"/>
      <c r="I14" s="124"/>
      <c r="J14" s="110" t="s">
        <v>59</v>
      </c>
      <c r="K14" s="137"/>
      <c r="L14" s="137"/>
      <c r="M14" s="137"/>
      <c r="N14" s="137"/>
      <c r="O14" s="137"/>
      <c r="P14" s="139"/>
      <c r="Q14" s="199"/>
      <c r="R14" s="207"/>
      <c r="S14" s="110" t="s">
        <v>61</v>
      </c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39"/>
      <c r="AF14" s="318"/>
      <c r="AG14" s="327" t="s">
        <v>63</v>
      </c>
      <c r="AH14" s="336"/>
      <c r="AI14" s="346"/>
      <c r="AJ14" s="354" t="s">
        <v>64</v>
      </c>
      <c r="AK14" s="358"/>
      <c r="AL14" s="358"/>
      <c r="AM14" s="358"/>
      <c r="AN14" s="358"/>
      <c r="AO14" s="358"/>
      <c r="AP14" s="358"/>
      <c r="AQ14" s="358"/>
      <c r="AR14" s="389"/>
      <c r="AS14" s="398" t="s">
        <v>56</v>
      </c>
      <c r="AT14" s="409"/>
      <c r="AU14" s="423"/>
      <c r="AV14" s="442"/>
      <c r="AW14" s="446" t="str">
        <f>IF(AND(計算!L24&lt;=50,J31&gt;AM21),IF(計算!L24&gt;0,"借入金控除チェック(50円足りない？)","ok"),"ok")</f>
        <v>ok</v>
      </c>
    </row>
    <row r="15" spans="1:54" ht="9.75" customHeight="1">
      <c r="A15" s="4"/>
      <c r="B15" s="9"/>
      <c r="C15" s="23" t="s">
        <v>66</v>
      </c>
      <c r="D15" s="46"/>
      <c r="E15" s="46"/>
      <c r="F15" s="46"/>
      <c r="G15" s="94"/>
      <c r="H15" s="110"/>
      <c r="I15" s="125"/>
      <c r="J15" s="137"/>
      <c r="K15" s="137"/>
      <c r="L15" s="137"/>
      <c r="M15" s="137"/>
      <c r="N15" s="137"/>
      <c r="O15" s="137"/>
      <c r="P15" s="139"/>
      <c r="Q15" s="200"/>
      <c r="R15" s="13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39"/>
      <c r="AF15" s="318"/>
      <c r="AG15" s="328"/>
      <c r="AH15" s="336"/>
      <c r="AI15" s="346"/>
      <c r="AJ15" s="355"/>
      <c r="AK15" s="262"/>
      <c r="AL15" s="262"/>
      <c r="AM15" s="262"/>
      <c r="AN15" s="262"/>
      <c r="AO15" s="262"/>
      <c r="AP15" s="262"/>
      <c r="AQ15" s="262"/>
      <c r="AR15" s="268"/>
      <c r="AS15" s="128"/>
      <c r="AT15" s="410"/>
      <c r="AU15" s="424"/>
      <c r="AV15" s="442"/>
      <c r="AW15" s="446" t="str">
        <f>IF(AC11&gt;=U11,IF(AM21&gt;0,"借入金控除不要、可能額のみ記載","ok"),"ok")</f>
        <v>ok</v>
      </c>
    </row>
    <row r="16" spans="1:54" ht="9.75" customHeight="1">
      <c r="A16" s="4"/>
      <c r="B16" s="9"/>
      <c r="C16" s="23"/>
      <c r="D16" s="46"/>
      <c r="E16" s="46"/>
      <c r="F16" s="82"/>
      <c r="G16" s="95" t="s">
        <v>0</v>
      </c>
      <c r="H16" s="111"/>
      <c r="I16" s="125"/>
      <c r="J16" s="136"/>
      <c r="K16" s="136"/>
      <c r="L16" s="136"/>
      <c r="M16" s="136"/>
      <c r="N16" s="136"/>
      <c r="O16" s="136"/>
      <c r="P16" s="139"/>
      <c r="Q16" s="201" t="s">
        <v>69</v>
      </c>
      <c r="R16" s="208"/>
      <c r="S16" s="208"/>
      <c r="T16" s="222"/>
      <c r="U16" s="231" t="s">
        <v>65</v>
      </c>
      <c r="V16" s="240"/>
      <c r="W16" s="240"/>
      <c r="X16" s="240"/>
      <c r="Y16" s="262"/>
      <c r="Z16" s="268"/>
      <c r="AA16" s="278" t="s">
        <v>70</v>
      </c>
      <c r="AB16" s="287"/>
      <c r="AC16" s="287"/>
      <c r="AD16" s="287"/>
      <c r="AE16" s="307"/>
      <c r="AF16" s="319"/>
      <c r="AG16" s="328"/>
      <c r="AH16" s="336"/>
      <c r="AI16" s="346"/>
      <c r="AJ16" s="201" t="s">
        <v>73</v>
      </c>
      <c r="AK16" s="359"/>
      <c r="AL16" s="359"/>
      <c r="AM16" s="359"/>
      <c r="AN16" s="359"/>
      <c r="AO16" s="386"/>
      <c r="AP16" s="387" t="s">
        <v>27</v>
      </c>
      <c r="AQ16" s="387"/>
      <c r="AR16" s="390"/>
      <c r="AS16" s="128"/>
      <c r="AT16" s="410"/>
      <c r="AU16" s="424"/>
      <c r="AV16" s="442"/>
      <c r="AW16" s="446" t="str">
        <f>IF(J31&gt;0,IF(AM21&gt;J31,"借入金控除が可能額を超えています","ok"),"ok")</f>
        <v>ok</v>
      </c>
      <c r="AZ16" s="1" t="s">
        <v>77</v>
      </c>
    </row>
    <row r="17" spans="1:53" ht="9" customHeight="1">
      <c r="A17" s="4"/>
      <c r="B17" s="9"/>
      <c r="C17" s="24" t="s">
        <v>78</v>
      </c>
      <c r="D17" s="55"/>
      <c r="E17" s="69" t="s">
        <v>79</v>
      </c>
      <c r="F17" s="83"/>
      <c r="G17" s="96"/>
      <c r="H17" s="112"/>
      <c r="I17" s="126">
        <f>計算!D7+計算!D8+計算!D9</f>
        <v>0</v>
      </c>
      <c r="J17" s="138"/>
      <c r="K17" s="138"/>
      <c r="L17" s="138"/>
      <c r="M17" s="138"/>
      <c r="N17" s="138"/>
      <c r="O17" s="138"/>
      <c r="P17" s="194"/>
      <c r="Q17" s="202"/>
      <c r="R17" s="209"/>
      <c r="S17" s="215" t="s">
        <v>36</v>
      </c>
      <c r="T17" s="223"/>
      <c r="U17" s="232" t="s">
        <v>14</v>
      </c>
      <c r="V17" s="241"/>
      <c r="W17" s="248"/>
      <c r="X17" s="256"/>
      <c r="Y17" s="103" t="s">
        <v>36</v>
      </c>
      <c r="Z17" s="269"/>
      <c r="AA17" s="215" t="s">
        <v>81</v>
      </c>
      <c r="AB17" s="288"/>
      <c r="AC17" s="288" t="s">
        <v>42</v>
      </c>
      <c r="AD17" s="223"/>
      <c r="AE17" s="103" t="s">
        <v>36</v>
      </c>
      <c r="AF17" s="269"/>
      <c r="AG17" s="329"/>
      <c r="AH17" s="337"/>
      <c r="AI17" s="347"/>
      <c r="AJ17" s="232" t="s">
        <v>14</v>
      </c>
      <c r="AK17" s="241"/>
      <c r="AL17" s="362"/>
      <c r="AM17" s="372"/>
      <c r="AN17" s="372"/>
      <c r="AO17" s="256"/>
      <c r="AP17" s="202"/>
      <c r="AQ17" s="338"/>
      <c r="AR17" s="209"/>
      <c r="AS17" s="399"/>
      <c r="AT17" s="399"/>
      <c r="AU17" s="425"/>
      <c r="AV17" s="442"/>
      <c r="AW17" s="446" t="str">
        <f>IF(AND(AM11&gt;0,AM21&lt;1,J31&gt;0),"借入金控除を入力してください","ok")</f>
        <v>ok</v>
      </c>
      <c r="AZ17" s="44" t="str">
        <f>IF(計算!G4=0,"0",計算!G4)</f>
        <v>0</v>
      </c>
      <c r="BA17" s="2"/>
    </row>
    <row r="18" spans="1:53" ht="9" customHeight="1">
      <c r="A18" s="4"/>
      <c r="B18" s="9"/>
      <c r="C18" s="25"/>
      <c r="D18" s="56"/>
      <c r="E18" s="69"/>
      <c r="F18" s="83"/>
      <c r="G18" s="97"/>
      <c r="H18" s="113"/>
      <c r="I18" s="127"/>
      <c r="J18" s="139"/>
      <c r="K18" s="139"/>
      <c r="L18" s="139"/>
      <c r="M18" s="139"/>
      <c r="N18" s="139"/>
      <c r="O18" s="139"/>
      <c r="P18" s="195"/>
      <c r="Q18" s="203"/>
      <c r="R18" s="210"/>
      <c r="S18" s="139"/>
      <c r="T18" s="195"/>
      <c r="U18" s="203"/>
      <c r="V18" s="242"/>
      <c r="W18" s="249"/>
      <c r="X18" s="210"/>
      <c r="Y18" s="139"/>
      <c r="Z18" s="195"/>
      <c r="AA18" s="203"/>
      <c r="AB18" s="289"/>
      <c r="AC18" s="242"/>
      <c r="AD18" s="210"/>
      <c r="AE18" s="139"/>
      <c r="AF18" s="195"/>
      <c r="AG18" s="329"/>
      <c r="AH18" s="337"/>
      <c r="AI18" s="347"/>
      <c r="AJ18" s="203"/>
      <c r="AK18" s="242"/>
      <c r="AL18" s="289"/>
      <c r="AM18" s="242"/>
      <c r="AN18" s="242"/>
      <c r="AO18" s="210"/>
      <c r="AP18" s="203"/>
      <c r="AQ18" s="242"/>
      <c r="AR18" s="210"/>
      <c r="AS18" s="399"/>
      <c r="AT18" s="399"/>
      <c r="AU18" s="425"/>
      <c r="AV18" s="442"/>
      <c r="AW18" s="446" t="str">
        <f>IF(N21&gt;L22,"小規模共済は社会保険料控除の内数です","ok")</f>
        <v>ok</v>
      </c>
      <c r="AY18" s="2"/>
      <c r="AZ18" s="44"/>
      <c r="BA18" s="2"/>
    </row>
    <row r="19" spans="1:53" ht="15.75" customHeight="1">
      <c r="A19" s="4"/>
      <c r="B19" s="9"/>
      <c r="C19" s="26"/>
      <c r="D19" s="57"/>
      <c r="E19" s="70"/>
      <c r="F19" s="84"/>
      <c r="G19" s="97"/>
      <c r="H19" s="113"/>
      <c r="I19" s="127"/>
      <c r="J19" s="139"/>
      <c r="K19" s="139"/>
      <c r="L19" s="139"/>
      <c r="M19" s="139"/>
      <c r="N19" s="139"/>
      <c r="O19" s="139"/>
      <c r="P19" s="195"/>
      <c r="Q19" s="203"/>
      <c r="R19" s="210"/>
      <c r="S19" s="139"/>
      <c r="T19" s="195"/>
      <c r="U19" s="203"/>
      <c r="V19" s="242"/>
      <c r="W19" s="249"/>
      <c r="X19" s="210"/>
      <c r="Y19" s="139"/>
      <c r="Z19" s="195"/>
      <c r="AA19" s="203"/>
      <c r="AB19" s="289"/>
      <c r="AC19" s="242"/>
      <c r="AD19" s="210"/>
      <c r="AE19" s="139"/>
      <c r="AF19" s="195"/>
      <c r="AG19" s="202"/>
      <c r="AH19" s="338"/>
      <c r="AI19" s="209"/>
      <c r="AJ19" s="203"/>
      <c r="AK19" s="242"/>
      <c r="AL19" s="289"/>
      <c r="AM19" s="242"/>
      <c r="AN19" s="242"/>
      <c r="AO19" s="210"/>
      <c r="AP19" s="203"/>
      <c r="AQ19" s="242"/>
      <c r="AR19" s="210"/>
      <c r="AS19" s="400"/>
      <c r="AT19" s="400"/>
      <c r="AU19" s="426"/>
      <c r="AV19" s="442"/>
      <c r="AW19" s="446" t="str">
        <f>IF(U21&gt;120000,"生命保険控除は最高120,000です","ok")</f>
        <v>ok</v>
      </c>
      <c r="AY19" s="452"/>
      <c r="AZ19" s="452"/>
    </row>
    <row r="20" spans="1:53" ht="13.5" customHeight="1">
      <c r="A20" s="4"/>
      <c r="B20" s="9"/>
      <c r="C20" s="27" t="s">
        <v>208</v>
      </c>
      <c r="D20" s="27"/>
      <c r="E20" s="27"/>
      <c r="F20" s="27"/>
      <c r="G20" s="27"/>
      <c r="H20" s="27"/>
      <c r="I20" s="27"/>
      <c r="J20" s="27"/>
      <c r="K20" s="27"/>
      <c r="L20" s="167" t="s">
        <v>107</v>
      </c>
      <c r="M20" s="167"/>
      <c r="N20" s="167"/>
      <c r="O20" s="167"/>
      <c r="P20" s="167"/>
      <c r="Q20" s="167"/>
      <c r="R20" s="167"/>
      <c r="S20" s="167"/>
      <c r="T20" s="167"/>
      <c r="U20" s="167" t="s">
        <v>93</v>
      </c>
      <c r="V20" s="167"/>
      <c r="W20" s="167"/>
      <c r="X20" s="167"/>
      <c r="Y20" s="167"/>
      <c r="Z20" s="167"/>
      <c r="AA20" s="167"/>
      <c r="AB20" s="167"/>
      <c r="AC20" s="167"/>
      <c r="AD20" s="167" t="s">
        <v>207</v>
      </c>
      <c r="AE20" s="167"/>
      <c r="AF20" s="167"/>
      <c r="AG20" s="167"/>
      <c r="AH20" s="167"/>
      <c r="AI20" s="167"/>
      <c r="AJ20" s="167"/>
      <c r="AK20" s="167"/>
      <c r="AL20" s="167"/>
      <c r="AM20" s="373" t="s">
        <v>159</v>
      </c>
      <c r="AN20" s="373"/>
      <c r="AO20" s="373"/>
      <c r="AP20" s="373"/>
      <c r="AQ20" s="373"/>
      <c r="AR20" s="373"/>
      <c r="AS20" s="373"/>
      <c r="AT20" s="373"/>
      <c r="AU20" s="373"/>
      <c r="AV20" s="442"/>
      <c r="AW20" s="446" t="str">
        <f>IF(AD21&gt;50000,"地震保険控除は最高50,000です","ok")</f>
        <v>ok</v>
      </c>
      <c r="AY20" s="452"/>
      <c r="AZ20" s="452"/>
    </row>
    <row r="21" spans="1:53" ht="13.5" customHeight="1">
      <c r="A21" s="4"/>
      <c r="B21" s="9"/>
      <c r="C21" s="28"/>
      <c r="D21" s="28"/>
      <c r="E21" s="28"/>
      <c r="F21" s="28"/>
      <c r="G21" s="28"/>
      <c r="H21" s="28"/>
      <c r="I21" s="28"/>
      <c r="J21" s="28"/>
      <c r="K21" s="153"/>
      <c r="L21" s="168" t="s">
        <v>84</v>
      </c>
      <c r="M21" s="179"/>
      <c r="N21" s="186"/>
      <c r="O21" s="186"/>
      <c r="P21" s="186"/>
      <c r="Q21" s="186"/>
      <c r="R21" s="186"/>
      <c r="S21" s="186"/>
      <c r="T21" s="224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374"/>
      <c r="AN21" s="142"/>
      <c r="AO21" s="142"/>
      <c r="AP21" s="142"/>
      <c r="AQ21" s="142"/>
      <c r="AR21" s="142"/>
      <c r="AS21" s="142"/>
      <c r="AT21" s="142"/>
      <c r="AU21" s="142"/>
      <c r="AV21" s="442"/>
      <c r="AW21" s="446" t="str">
        <f>IF(AND(G17="〇",C18&lt;&gt;"〇"),"老人配偶者の場合、配偶者有にも記載が必要です","ok")</f>
        <v>ok</v>
      </c>
      <c r="AY21" s="452"/>
      <c r="AZ21" s="452"/>
    </row>
    <row r="22" spans="1:53" ht="15.75" customHeight="1">
      <c r="A22" s="4"/>
      <c r="B22" s="9"/>
      <c r="C22" s="29"/>
      <c r="D22" s="29"/>
      <c r="E22" s="29"/>
      <c r="F22" s="29"/>
      <c r="G22" s="29"/>
      <c r="H22" s="29"/>
      <c r="I22" s="29"/>
      <c r="J22" s="29"/>
      <c r="K22" s="154"/>
      <c r="L22" s="169"/>
      <c r="M22" s="169"/>
      <c r="N22" s="169"/>
      <c r="O22" s="169"/>
      <c r="P22" s="169"/>
      <c r="Q22" s="169"/>
      <c r="R22" s="169"/>
      <c r="S22" s="169"/>
      <c r="T22" s="169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374"/>
      <c r="AN22" s="142"/>
      <c r="AO22" s="142"/>
      <c r="AP22" s="142"/>
      <c r="AQ22" s="142"/>
      <c r="AR22" s="142"/>
      <c r="AS22" s="142"/>
      <c r="AT22" s="142"/>
      <c r="AU22" s="142"/>
      <c r="AV22" s="442"/>
      <c r="AW22" s="446" t="str">
        <f>IF(U18&gt;W18,"老人扶養もれ（内同居にのみ入力されています)","ok")</f>
        <v>ok</v>
      </c>
      <c r="AY22" s="452"/>
      <c r="AZ22" s="452"/>
    </row>
    <row r="23" spans="1:53" ht="15.75" customHeight="1">
      <c r="A23" s="4"/>
      <c r="B23" s="10"/>
      <c r="C23" s="30" t="s">
        <v>209</v>
      </c>
      <c r="D23" s="30"/>
      <c r="E23" s="30"/>
      <c r="F23" s="30"/>
      <c r="G23" s="30"/>
      <c r="H23" s="30"/>
      <c r="I23" s="30"/>
      <c r="J23" s="30"/>
      <c r="K23" s="30"/>
      <c r="L23" s="170"/>
      <c r="M23" s="180"/>
      <c r="N23" s="180"/>
      <c r="O23" s="180"/>
      <c r="P23" s="180"/>
      <c r="Q23" s="180"/>
      <c r="R23" s="180"/>
      <c r="S23" s="180"/>
      <c r="T23" s="180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442"/>
      <c r="AW23" s="446" t="str">
        <f>IF(AND(C21&gt;0,L23&lt;1),"確認のため、特定親族の所得を入れてください。","ok")</f>
        <v>ok</v>
      </c>
      <c r="AY23" s="452"/>
      <c r="AZ23" s="452"/>
    </row>
    <row r="24" spans="1:53" ht="9.75" customHeight="1">
      <c r="A24" s="4"/>
      <c r="B24" s="9"/>
      <c r="C24" s="31" t="str">
        <f>"（摘要）　"&amp;"　前職がある場合などは、記載と確認を忘れずに!"</f>
        <v>（摘要）　　前職がある場合などは、記載と確認を忘れずに!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442"/>
      <c r="AW24" s="446" t="str">
        <f>IF(AD21&lt;計算!N43,"旧長期損害保険があるため地震保険料控除は"&amp;計算!N43&amp;"円以上となります","ok")</f>
        <v>ok</v>
      </c>
    </row>
    <row r="25" spans="1:53" ht="9.75" customHeight="1">
      <c r="A25" s="4"/>
      <c r="B25" s="9"/>
      <c r="C25" s="3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442"/>
      <c r="AW25" s="446" t="str">
        <f>IF(AJ18&gt;AM18,"特別障害もれ(内同居にのみ入力されています)","ok")</f>
        <v>ok</v>
      </c>
    </row>
    <row r="26" spans="1:53" ht="9.75" customHeight="1">
      <c r="A26" s="4"/>
      <c r="B26" s="9"/>
      <c r="C26" s="31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442"/>
      <c r="AW26" s="446" t="str">
        <f>IF(AP17+AM18&gt;COUNTA(C18)+Q17+W18+AA18+AC18+AG17,"障害者の人数が扶養人数を上回っています","ok")</f>
        <v>ok</v>
      </c>
    </row>
    <row r="27" spans="1:53" ht="9.75" customHeight="1">
      <c r="A27" s="4"/>
      <c r="B27" s="9"/>
      <c r="C27" s="32" t="s">
        <v>85</v>
      </c>
      <c r="D27" s="60"/>
      <c r="E27" s="60"/>
      <c r="F27" s="34" t="s">
        <v>60</v>
      </c>
      <c r="G27" s="35"/>
      <c r="H27" s="35"/>
      <c r="I27" s="128"/>
      <c r="J27" s="140"/>
      <c r="K27" s="155"/>
      <c r="L27" s="155"/>
      <c r="M27" s="181"/>
      <c r="N27" s="187" t="s">
        <v>19</v>
      </c>
      <c r="O27" s="35"/>
      <c r="P27" s="35"/>
      <c r="Q27" s="128"/>
      <c r="R27" s="140"/>
      <c r="S27" s="155"/>
      <c r="T27" s="155"/>
      <c r="U27" s="181"/>
      <c r="V27" s="187" t="s">
        <v>83</v>
      </c>
      <c r="W27" s="35"/>
      <c r="X27" s="35"/>
      <c r="Y27" s="128"/>
      <c r="Z27" s="140"/>
      <c r="AA27" s="155"/>
      <c r="AB27" s="155"/>
      <c r="AC27" s="181"/>
      <c r="AD27" s="187" t="s">
        <v>67</v>
      </c>
      <c r="AE27" s="35"/>
      <c r="AF27" s="35"/>
      <c r="AG27" s="128"/>
      <c r="AH27" s="140"/>
      <c r="AI27" s="155"/>
      <c r="AJ27" s="155"/>
      <c r="AK27" s="155"/>
      <c r="AL27" s="181"/>
      <c r="AM27" s="187" t="s">
        <v>35</v>
      </c>
      <c r="AN27" s="35"/>
      <c r="AO27" s="35"/>
      <c r="AP27" s="35"/>
      <c r="AQ27" s="128"/>
      <c r="AR27" s="391"/>
      <c r="AS27" s="401"/>
      <c r="AT27" s="401"/>
      <c r="AU27" s="427"/>
      <c r="AV27" s="442"/>
      <c r="AW27" s="446" t="str">
        <f>IF(AND(L43&lt;&gt;"",N43&lt;&gt;""),"本人障害が特別とその他で重複しています","ok")</f>
        <v>ok</v>
      </c>
    </row>
    <row r="28" spans="1:53" ht="9.75" customHeight="1">
      <c r="A28" s="4"/>
      <c r="B28" s="9"/>
      <c r="C28" s="33"/>
      <c r="D28" s="33"/>
      <c r="E28" s="33"/>
      <c r="F28" s="85"/>
      <c r="G28" s="85"/>
      <c r="H28" s="85"/>
      <c r="I28" s="95"/>
      <c r="J28" s="141"/>
      <c r="K28" s="156"/>
      <c r="L28" s="156"/>
      <c r="M28" s="182"/>
      <c r="N28" s="188"/>
      <c r="O28" s="85"/>
      <c r="P28" s="85"/>
      <c r="Q28" s="95"/>
      <c r="R28" s="141"/>
      <c r="S28" s="156"/>
      <c r="T28" s="156"/>
      <c r="U28" s="182"/>
      <c r="V28" s="188"/>
      <c r="W28" s="85"/>
      <c r="X28" s="85"/>
      <c r="Y28" s="95"/>
      <c r="Z28" s="141"/>
      <c r="AA28" s="156"/>
      <c r="AB28" s="156"/>
      <c r="AC28" s="182"/>
      <c r="AD28" s="188"/>
      <c r="AE28" s="85"/>
      <c r="AF28" s="85"/>
      <c r="AG28" s="95"/>
      <c r="AH28" s="141"/>
      <c r="AI28" s="156"/>
      <c r="AJ28" s="156"/>
      <c r="AK28" s="156"/>
      <c r="AL28" s="182"/>
      <c r="AM28" s="188"/>
      <c r="AN28" s="85"/>
      <c r="AO28" s="85"/>
      <c r="AP28" s="85"/>
      <c r="AQ28" s="95"/>
      <c r="AR28" s="392"/>
      <c r="AS28" s="402"/>
      <c r="AT28" s="402"/>
      <c r="AU28" s="428"/>
      <c r="AV28" s="442"/>
      <c r="AW28" s="446" t="str">
        <f>IF(COUNTA(P43)+COUNTA(R43)&gt;1,"ひとり親と寡婦控除が重複しています","ok")</f>
        <v>ok</v>
      </c>
    </row>
    <row r="29" spans="1:53" ht="9.75" customHeight="1">
      <c r="A29" s="4"/>
      <c r="B29" s="9"/>
      <c r="C29" s="34" t="s">
        <v>17</v>
      </c>
      <c r="D29" s="35"/>
      <c r="E29" s="35"/>
      <c r="F29" s="34" t="s">
        <v>74</v>
      </c>
      <c r="G29" s="35"/>
      <c r="H29" s="35"/>
      <c r="I29" s="35"/>
      <c r="J29" s="35"/>
      <c r="K29" s="35"/>
      <c r="L29" s="35"/>
      <c r="M29" s="35"/>
      <c r="N29" s="34" t="s">
        <v>62</v>
      </c>
      <c r="O29" s="189"/>
      <c r="P29" s="189"/>
      <c r="Q29" s="189"/>
      <c r="R29" s="211" t="str">
        <f>IF(J31+AI21&gt;0,"忘れずに記載してください","")</f>
        <v/>
      </c>
      <c r="S29" s="211"/>
      <c r="T29" s="211"/>
      <c r="U29" s="211"/>
      <c r="V29" s="211"/>
      <c r="W29" s="211"/>
      <c r="X29" s="211"/>
      <c r="Y29" s="211"/>
      <c r="Z29" s="34" t="s">
        <v>86</v>
      </c>
      <c r="AA29" s="35"/>
      <c r="AB29" s="35"/>
      <c r="AC29" s="35"/>
      <c r="AD29" s="299" t="str">
        <f>IF(J31+AI21&gt;0,"忘れずに記載してください","")</f>
        <v/>
      </c>
      <c r="AE29" s="299"/>
      <c r="AF29" s="299"/>
      <c r="AG29" s="299"/>
      <c r="AH29" s="34" t="s">
        <v>88</v>
      </c>
      <c r="AI29" s="35"/>
      <c r="AJ29" s="35"/>
      <c r="AK29" s="35"/>
      <c r="AL29" s="35"/>
      <c r="AM29" s="299" t="str">
        <f>IF(J31+AI21&gt;0,"忘れずに記載してください","")</f>
        <v/>
      </c>
      <c r="AN29" s="299"/>
      <c r="AO29" s="299"/>
      <c r="AP29" s="299"/>
      <c r="AQ29" s="299"/>
      <c r="AR29" s="299"/>
      <c r="AS29" s="299"/>
      <c r="AT29" s="299"/>
      <c r="AU29" s="299"/>
      <c r="AV29" s="442"/>
      <c r="AW29" s="446" t="str">
        <f>IF(AND(R43="〇",Q17+AA18+AC18+AG17&lt;1),"ひとり親要件（子の扶養）無し","ok")</f>
        <v>ok</v>
      </c>
    </row>
    <row r="30" spans="1:53" ht="9.75" customHeight="1">
      <c r="A30" s="4"/>
      <c r="B30" s="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189"/>
      <c r="O30" s="189"/>
      <c r="P30" s="189"/>
      <c r="Q30" s="189"/>
      <c r="R30" s="211"/>
      <c r="S30" s="211"/>
      <c r="T30" s="211"/>
      <c r="U30" s="211"/>
      <c r="V30" s="211"/>
      <c r="W30" s="211"/>
      <c r="X30" s="211"/>
      <c r="Y30" s="211"/>
      <c r="Z30" s="35"/>
      <c r="AA30" s="35"/>
      <c r="AB30" s="35"/>
      <c r="AC30" s="35"/>
      <c r="AD30" s="299"/>
      <c r="AE30" s="299"/>
      <c r="AF30" s="299"/>
      <c r="AG30" s="299"/>
      <c r="AH30" s="35"/>
      <c r="AI30" s="35"/>
      <c r="AJ30" s="35"/>
      <c r="AK30" s="35"/>
      <c r="AL30" s="35"/>
      <c r="AM30" s="299"/>
      <c r="AN30" s="299"/>
      <c r="AO30" s="299"/>
      <c r="AP30" s="299"/>
      <c r="AQ30" s="299"/>
      <c r="AR30" s="299"/>
      <c r="AS30" s="299"/>
      <c r="AT30" s="299"/>
      <c r="AU30" s="299"/>
      <c r="AV30" s="442"/>
      <c r="AW30" s="446" t="str">
        <f>IF((U21=(AY11)),"ok","生命保険料の金額と控除額が合いません(上段ピンク欄参照)")</f>
        <v>ok</v>
      </c>
    </row>
    <row r="31" spans="1:53" ht="9.75" customHeight="1">
      <c r="A31" s="4"/>
      <c r="B31" s="9"/>
      <c r="C31" s="35"/>
      <c r="D31" s="35"/>
      <c r="E31" s="35"/>
      <c r="F31" s="34" t="s">
        <v>3</v>
      </c>
      <c r="G31" s="35"/>
      <c r="H31" s="35"/>
      <c r="I31" s="35"/>
      <c r="J31" s="142"/>
      <c r="K31" s="142"/>
      <c r="L31" s="142"/>
      <c r="M31" s="142"/>
      <c r="N31" s="34" t="s">
        <v>89</v>
      </c>
      <c r="O31" s="189"/>
      <c r="P31" s="189"/>
      <c r="Q31" s="189"/>
      <c r="R31" s="35"/>
      <c r="S31" s="189"/>
      <c r="T31" s="189"/>
      <c r="U31" s="189"/>
      <c r="V31" s="189"/>
      <c r="W31" s="189"/>
      <c r="X31" s="189"/>
      <c r="Y31" s="189"/>
      <c r="Z31" s="34" t="s">
        <v>51</v>
      </c>
      <c r="AA31" s="35"/>
      <c r="AB31" s="35"/>
      <c r="AC31" s="35"/>
      <c r="AD31" s="35"/>
      <c r="AE31" s="35"/>
      <c r="AF31" s="35"/>
      <c r="AG31" s="35"/>
      <c r="AH31" s="34" t="s">
        <v>28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442"/>
      <c r="AW31" s="446" t="str">
        <f>IF(L11&gt;20000000,"収入2000万円を超える方は年末調整非該当です","ok")</f>
        <v>ok</v>
      </c>
    </row>
    <row r="32" spans="1:53" ht="9.75" customHeight="1">
      <c r="A32" s="4"/>
      <c r="B32" s="9"/>
      <c r="C32" s="35"/>
      <c r="D32" s="35"/>
      <c r="E32" s="35"/>
      <c r="F32" s="35"/>
      <c r="G32" s="35"/>
      <c r="H32" s="35"/>
      <c r="I32" s="35"/>
      <c r="J32" s="142"/>
      <c r="K32" s="142"/>
      <c r="L32" s="142"/>
      <c r="M32" s="142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85"/>
      <c r="AA32" s="85"/>
      <c r="AB32" s="85"/>
      <c r="AC32" s="8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85"/>
      <c r="AS32" s="85"/>
      <c r="AT32" s="85"/>
      <c r="AU32" s="85"/>
      <c r="AV32" s="442"/>
      <c r="AW32" s="446" t="str">
        <f>IF(AND(AM21&gt;0,AM11=0,OR(J31=0,J31="")),"住宅借入金可能額は有りませんか？控除から税額を引いて残りがある場合、可能額の記載が必要","ok")</f>
        <v>ok</v>
      </c>
    </row>
    <row r="33" spans="1:50" ht="9.75" customHeight="1">
      <c r="A33" s="4"/>
      <c r="B33" s="9"/>
      <c r="C33" s="36"/>
      <c r="D33" s="61"/>
      <c r="E33" s="61"/>
      <c r="F33" s="61"/>
      <c r="G33" s="61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243" t="s">
        <v>43</v>
      </c>
      <c r="W33" s="244"/>
      <c r="X33" s="244"/>
      <c r="Y33" s="18"/>
      <c r="Z33" s="140"/>
      <c r="AA33" s="155"/>
      <c r="AB33" s="155"/>
      <c r="AC33" s="181"/>
      <c r="AD33" s="300" t="s">
        <v>91</v>
      </c>
      <c r="AE33" s="308"/>
      <c r="AF33" s="308"/>
      <c r="AG33" s="308"/>
      <c r="AH33" s="339"/>
      <c r="AI33" s="348"/>
      <c r="AJ33" s="348"/>
      <c r="AK33" s="348"/>
      <c r="AL33" s="363"/>
      <c r="AM33" s="375" t="s">
        <v>49</v>
      </c>
      <c r="AN33" s="308"/>
      <c r="AO33" s="308"/>
      <c r="AP33" s="308"/>
      <c r="AQ33" s="388"/>
      <c r="AR33" s="393"/>
      <c r="AS33" s="403"/>
      <c r="AT33" s="403"/>
      <c r="AU33" s="429"/>
      <c r="AV33" s="442"/>
      <c r="AW33" s="446" t="str">
        <f>IF(AND(OR(P43="〇",R43="〇"),U11&gt;5000000),"所得500万超えのため寡婦及びひとり親控除非該当です","ok")</f>
        <v>ok</v>
      </c>
    </row>
    <row r="34" spans="1:50" ht="9.75" customHeight="1">
      <c r="A34" s="4"/>
      <c r="B34" s="9"/>
      <c r="C34" s="36"/>
      <c r="D34" s="61"/>
      <c r="E34" s="61"/>
      <c r="F34" s="61"/>
      <c r="G34" s="61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244"/>
      <c r="W34" s="244"/>
      <c r="X34" s="244"/>
      <c r="Y34" s="18"/>
      <c r="Z34" s="270"/>
      <c r="AA34" s="279"/>
      <c r="AB34" s="279"/>
      <c r="AC34" s="294"/>
      <c r="AD34" s="301"/>
      <c r="AE34" s="308"/>
      <c r="AF34" s="308"/>
      <c r="AG34" s="308"/>
      <c r="AH34" s="340"/>
      <c r="AI34" s="349"/>
      <c r="AJ34" s="349"/>
      <c r="AK34" s="349"/>
      <c r="AL34" s="364"/>
      <c r="AM34" s="308"/>
      <c r="AN34" s="308"/>
      <c r="AO34" s="308"/>
      <c r="AP34" s="308"/>
      <c r="AQ34" s="388"/>
      <c r="AR34" s="394"/>
      <c r="AS34" s="404"/>
      <c r="AT34" s="404"/>
      <c r="AU34" s="430"/>
      <c r="AV34" s="442"/>
      <c r="AW34" s="446" t="str">
        <f>IF(AM12=計算!G9,"ok","所得税額に誤りがあります。算出税額を参照してください.")</f>
        <v>ok</v>
      </c>
    </row>
    <row r="35" spans="1:50" ht="9.75" customHeight="1">
      <c r="A35" s="4"/>
      <c r="B35" s="9"/>
      <c r="C35" s="36"/>
      <c r="D35" s="61"/>
      <c r="E35" s="61"/>
      <c r="F35" s="61"/>
      <c r="G35" s="61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244"/>
      <c r="W35" s="244"/>
      <c r="X35" s="244"/>
      <c r="Y35" s="18"/>
      <c r="Z35" s="271"/>
      <c r="AA35" s="280"/>
      <c r="AB35" s="280"/>
      <c r="AC35" s="295"/>
      <c r="AD35" s="302"/>
      <c r="AE35" s="309"/>
      <c r="AF35" s="309"/>
      <c r="AG35" s="309"/>
      <c r="AH35" s="340"/>
      <c r="AI35" s="349"/>
      <c r="AJ35" s="349"/>
      <c r="AK35" s="349"/>
      <c r="AL35" s="364"/>
      <c r="AM35" s="308"/>
      <c r="AN35" s="308"/>
      <c r="AO35" s="308"/>
      <c r="AP35" s="308"/>
      <c r="AQ35" s="388"/>
      <c r="AR35" s="395"/>
      <c r="AS35" s="405"/>
      <c r="AT35" s="405"/>
      <c r="AU35" s="431"/>
      <c r="AV35" s="442"/>
      <c r="AW35" s="446" t="str">
        <f>IF(AND(C18="〇",Z33&gt;480000),"配偶者特別控除となるため配偶者控除有の欄は空欄となります","ok")</f>
        <v>ok</v>
      </c>
    </row>
    <row r="36" spans="1:50" ht="9.75" customHeight="1">
      <c r="A36" s="4"/>
      <c r="B36" s="9"/>
      <c r="C36" s="36"/>
      <c r="D36" s="61"/>
      <c r="E36" s="61"/>
      <c r="F36" s="61"/>
      <c r="G36" s="61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303" t="s">
        <v>192</v>
      </c>
      <c r="AE36" s="310"/>
      <c r="AF36" s="310"/>
      <c r="AG36" s="330"/>
      <c r="AH36" s="341">
        <f>計算!C32</f>
        <v>950000</v>
      </c>
      <c r="AI36" s="350"/>
      <c r="AJ36" s="350"/>
      <c r="AK36" s="350"/>
      <c r="AL36" s="365"/>
      <c r="AM36" s="376" t="s">
        <v>68</v>
      </c>
      <c r="AN36" s="376"/>
      <c r="AO36" s="376"/>
      <c r="AP36" s="376"/>
      <c r="AQ36" s="376"/>
      <c r="AR36" s="396"/>
      <c r="AS36" s="406"/>
      <c r="AT36" s="406"/>
      <c r="AU36" s="432"/>
      <c r="AV36" s="442"/>
      <c r="AW36" s="446" t="str">
        <f>IF(AND(G17="〇",Z33&gt;480000),"配偶者特別控除となるため配偶者控除老人の欄は空欄となります","ok")</f>
        <v>ok</v>
      </c>
    </row>
    <row r="37" spans="1:50" ht="9.75" customHeight="1">
      <c r="A37" s="4"/>
      <c r="B37" s="9"/>
      <c r="C37" s="36"/>
      <c r="D37" s="61"/>
      <c r="E37" s="71" t="str">
        <f>IF(Q17+W18+AA18+AC18+AG17+AM18+AP17&gt;0,"控除対象配偶者・扶養親族等がいる場合には氏名等を忘れずに記載してください。","")</f>
        <v/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304"/>
      <c r="AE37" s="311"/>
      <c r="AF37" s="311"/>
      <c r="AG37" s="331"/>
      <c r="AH37" s="342"/>
      <c r="AI37" s="342"/>
      <c r="AJ37" s="342"/>
      <c r="AK37" s="342"/>
      <c r="AL37" s="366"/>
      <c r="AM37" s="377"/>
      <c r="AN37" s="377"/>
      <c r="AO37" s="377"/>
      <c r="AP37" s="377"/>
      <c r="AQ37" s="377"/>
      <c r="AR37" s="397"/>
      <c r="AS37" s="407"/>
      <c r="AT37" s="407"/>
      <c r="AU37" s="433"/>
      <c r="AV37" s="442"/>
      <c r="AW37" s="446" t="str">
        <f>IF(AND(OR(P43="〇",R43="〇"),I17&gt;0),"配偶者がいるため寡婦及びひとり親控除非該当です","ok")</f>
        <v>ok</v>
      </c>
    </row>
    <row r="38" spans="1:50" ht="9.75" customHeight="1">
      <c r="A38" s="4"/>
      <c r="B38" s="9"/>
      <c r="C38" s="36"/>
      <c r="D38" s="6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383"/>
      <c r="AU38" s="383"/>
      <c r="AV38" s="442"/>
      <c r="AW38" s="446" t="str">
        <f>IF(AND(Z33&lt;=480000,Z33&gt;0,C18=""),"控除対象配偶者「有」の記入漏れはありませんか？控除対象配偶者がいない場合は合計所得も不要です","ok")</f>
        <v>ok</v>
      </c>
    </row>
    <row r="39" spans="1:50" ht="9.75" customHeight="1">
      <c r="A39" s="4"/>
      <c r="B39" s="9"/>
      <c r="C39" s="36"/>
      <c r="D39" s="61"/>
      <c r="E39" s="61"/>
      <c r="F39" s="61"/>
      <c r="G39" s="61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332"/>
      <c r="AH39" s="332"/>
      <c r="AI39" s="332"/>
      <c r="AJ39" s="332"/>
      <c r="AK39" s="332"/>
      <c r="AL39" s="332"/>
      <c r="AM39" s="332"/>
      <c r="AN39" s="383"/>
      <c r="AO39" s="383"/>
      <c r="AP39" s="383"/>
      <c r="AQ39" s="383"/>
      <c r="AR39" s="383"/>
      <c r="AS39" s="383"/>
      <c r="AT39" s="383"/>
      <c r="AU39" s="383"/>
      <c r="AV39" s="442"/>
      <c r="AW39" s="446" t="str">
        <f>IF(AR36=計算!N20,"ok","所得金額調整控除の漏れまたは誤りです")</f>
        <v>ok</v>
      </c>
    </row>
    <row r="40" spans="1:50" ht="10.5" customHeight="1">
      <c r="A40" s="4"/>
      <c r="B40" s="8"/>
      <c r="C40" s="37" t="s">
        <v>94</v>
      </c>
      <c r="D40" s="62"/>
      <c r="E40" s="72" t="s">
        <v>1</v>
      </c>
      <c r="F40" s="86"/>
      <c r="G40" s="98" t="s">
        <v>87</v>
      </c>
      <c r="H40" s="115"/>
      <c r="I40" s="129" t="s">
        <v>95</v>
      </c>
      <c r="J40" s="129" t="s">
        <v>96</v>
      </c>
      <c r="K40" s="157"/>
      <c r="L40" s="171" t="s">
        <v>97</v>
      </c>
      <c r="M40" s="183"/>
      <c r="N40" s="183"/>
      <c r="O40" s="183"/>
      <c r="P40" s="196" t="s">
        <v>98</v>
      </c>
      <c r="Q40" s="204"/>
      <c r="R40" s="212" t="s">
        <v>100</v>
      </c>
      <c r="S40" s="216"/>
      <c r="T40" s="225"/>
      <c r="U40" s="225"/>
      <c r="V40" s="245" t="s">
        <v>102</v>
      </c>
      <c r="W40" s="250"/>
      <c r="X40" s="257" t="s">
        <v>103</v>
      </c>
      <c r="Y40" s="263"/>
      <c r="Z40" s="263"/>
      <c r="AA40" s="263"/>
      <c r="AB40" s="263"/>
      <c r="AC40" s="263"/>
      <c r="AD40" s="263"/>
      <c r="AE40" s="263"/>
      <c r="AF40" s="263"/>
      <c r="AG40" s="333"/>
      <c r="AH40" s="343" t="s">
        <v>104</v>
      </c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434"/>
      <c r="AV40" s="442"/>
      <c r="AW40" s="446" t="str">
        <f>IF(C21=計算!O62,"ok","「特定親族特別控除の額」または「特定親族の所得」に誤りがあります")</f>
        <v>ok</v>
      </c>
    </row>
    <row r="41" spans="1:50" ht="9" customHeight="1">
      <c r="A41" s="4"/>
      <c r="B41" s="8"/>
      <c r="C41" s="38"/>
      <c r="D41" s="63"/>
      <c r="E41" s="73"/>
      <c r="F41" s="87"/>
      <c r="G41" s="99"/>
      <c r="H41" s="116"/>
      <c r="I41" s="130"/>
      <c r="J41" s="143"/>
      <c r="K41" s="157"/>
      <c r="L41" s="172" t="s">
        <v>106</v>
      </c>
      <c r="M41" s="184"/>
      <c r="N41" s="190" t="s">
        <v>76</v>
      </c>
      <c r="O41" s="192" t="s">
        <v>110</v>
      </c>
      <c r="P41" s="197"/>
      <c r="Q41" s="205"/>
      <c r="R41" s="213"/>
      <c r="S41" s="217"/>
      <c r="T41" s="184"/>
      <c r="U41" s="184"/>
      <c r="V41" s="246"/>
      <c r="W41" s="251"/>
      <c r="X41" s="258" t="s">
        <v>111</v>
      </c>
      <c r="Y41" s="244"/>
      <c r="Z41" s="244" t="s">
        <v>105</v>
      </c>
      <c r="AA41" s="244"/>
      <c r="AB41" s="244" t="s">
        <v>112</v>
      </c>
      <c r="AC41" s="244"/>
      <c r="AD41" s="244" t="s">
        <v>113</v>
      </c>
      <c r="AE41" s="244"/>
      <c r="AF41" s="244" t="s">
        <v>114</v>
      </c>
      <c r="AG41" s="334"/>
      <c r="AH41" s="344" t="s">
        <v>99</v>
      </c>
      <c r="AI41" s="352"/>
      <c r="AJ41" s="356" t="s">
        <v>117</v>
      </c>
      <c r="AK41" s="356"/>
      <c r="AL41" s="356" t="s">
        <v>118</v>
      </c>
      <c r="AM41" s="356"/>
      <c r="AN41" s="356" t="s">
        <v>119</v>
      </c>
      <c r="AO41" s="356"/>
      <c r="AP41" s="356" t="s">
        <v>112</v>
      </c>
      <c r="AQ41" s="356"/>
      <c r="AR41" s="356" t="s">
        <v>113</v>
      </c>
      <c r="AS41" s="356"/>
      <c r="AT41" s="244" t="s">
        <v>120</v>
      </c>
      <c r="AU41" s="244"/>
      <c r="AV41" s="442"/>
      <c r="AW41" s="447"/>
      <c r="AX41" s="447">
        <f>IF(AR36=計算!N20,,"配偶者及び扶養控除該当の方以外に調整控除対象者がいる場合は、問題ありません")</f>
        <v>0</v>
      </c>
    </row>
    <row r="42" spans="1:50" ht="9" customHeight="1">
      <c r="A42" s="4"/>
      <c r="B42" s="8"/>
      <c r="C42" s="39"/>
      <c r="D42" s="64"/>
      <c r="E42" s="74"/>
      <c r="F42" s="88"/>
      <c r="G42" s="100"/>
      <c r="H42" s="117"/>
      <c r="I42" s="130"/>
      <c r="J42" s="143"/>
      <c r="K42" s="157"/>
      <c r="L42" s="172"/>
      <c r="M42" s="184"/>
      <c r="N42" s="157"/>
      <c r="O42" s="193"/>
      <c r="P42" s="198"/>
      <c r="Q42" s="206"/>
      <c r="R42" s="214"/>
      <c r="S42" s="218"/>
      <c r="T42" s="184"/>
      <c r="U42" s="184"/>
      <c r="V42" s="246"/>
      <c r="W42" s="251"/>
      <c r="X42" s="258"/>
      <c r="Y42" s="244"/>
      <c r="Z42" s="244"/>
      <c r="AA42" s="244"/>
      <c r="AB42" s="244"/>
      <c r="AC42" s="244"/>
      <c r="AD42" s="244"/>
      <c r="AE42" s="244"/>
      <c r="AF42" s="244"/>
      <c r="AG42" s="334"/>
      <c r="AH42" s="345"/>
      <c r="AI42" s="353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442"/>
      <c r="AW42" s="447"/>
    </row>
    <row r="43" spans="1:50" ht="14.25" customHeight="1">
      <c r="A43" s="4"/>
      <c r="B43" s="11" t="s">
        <v>121</v>
      </c>
      <c r="C43" s="40"/>
      <c r="D43" s="65"/>
      <c r="E43" s="75"/>
      <c r="F43" s="89"/>
      <c r="G43" s="101"/>
      <c r="H43" s="89"/>
      <c r="I43" s="131"/>
      <c r="J43" s="131"/>
      <c r="K43" s="158"/>
      <c r="L43" s="173"/>
      <c r="M43" s="185"/>
      <c r="N43" s="191"/>
      <c r="O43" s="185"/>
      <c r="P43" s="191"/>
      <c r="Q43" s="185"/>
      <c r="R43" s="191"/>
      <c r="S43" s="185"/>
      <c r="T43" s="226"/>
      <c r="U43" s="226"/>
      <c r="V43" s="191"/>
      <c r="W43" s="252"/>
      <c r="X43" s="222"/>
      <c r="Y43" s="264"/>
      <c r="Z43" s="264"/>
      <c r="AA43" s="264"/>
      <c r="AB43" s="290">
        <f>+計算!A1</f>
        <v>7</v>
      </c>
      <c r="AC43" s="296"/>
      <c r="AD43" s="264"/>
      <c r="AE43" s="264"/>
      <c r="AF43" s="264"/>
      <c r="AG43" s="335"/>
      <c r="AH43" s="307"/>
      <c r="AI43" s="319"/>
      <c r="AJ43" s="167"/>
      <c r="AK43" s="167"/>
      <c r="AL43" s="167"/>
      <c r="AM43" s="167"/>
      <c r="AN43" s="384"/>
      <c r="AO43" s="384"/>
      <c r="AP43" s="384"/>
      <c r="AQ43" s="384"/>
      <c r="AR43" s="384"/>
      <c r="AS43" s="384"/>
      <c r="AT43" s="411"/>
      <c r="AU43" s="411"/>
      <c r="AV43" s="442"/>
      <c r="AW43" s="447"/>
    </row>
    <row r="44" spans="1:50" ht="9" customHeight="1">
      <c r="A44" s="4"/>
      <c r="B44" s="11"/>
      <c r="C44" s="16" t="s">
        <v>122</v>
      </c>
      <c r="D44" s="66"/>
      <c r="E44" s="76" t="s">
        <v>123</v>
      </c>
      <c r="F44" s="80"/>
      <c r="G44" s="80"/>
      <c r="H44" s="80"/>
      <c r="I44" s="132"/>
      <c r="J44" s="144" t="s">
        <v>9</v>
      </c>
      <c r="K44" s="159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435"/>
      <c r="AV44" s="442"/>
      <c r="AW44" s="447"/>
      <c r="AX44" s="2"/>
    </row>
    <row r="45" spans="1:50" ht="9" customHeight="1">
      <c r="A45" s="4"/>
      <c r="B45" s="11"/>
      <c r="C45" s="16"/>
      <c r="D45" s="66"/>
      <c r="E45" s="76" t="s">
        <v>48</v>
      </c>
      <c r="F45" s="80"/>
      <c r="G45" s="80"/>
      <c r="H45" s="80"/>
      <c r="I45" s="132"/>
      <c r="J45" s="145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436"/>
      <c r="AV45" s="442"/>
      <c r="AW45" s="447"/>
    </row>
    <row r="46" spans="1:50" ht="9" customHeight="1">
      <c r="A46" s="4"/>
      <c r="B46" s="11"/>
      <c r="C46" s="16" t="s">
        <v>39</v>
      </c>
      <c r="D46" s="66"/>
      <c r="E46" s="77"/>
      <c r="F46" s="90"/>
      <c r="G46" s="90"/>
      <c r="H46" s="90"/>
      <c r="I46" s="133"/>
      <c r="J46" s="146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437"/>
      <c r="AV46" s="442"/>
      <c r="AW46" s="447"/>
    </row>
    <row r="47" spans="1:50" ht="9" customHeight="1">
      <c r="A47" s="4"/>
      <c r="B47" s="11"/>
      <c r="C47" s="16"/>
      <c r="D47" s="66"/>
      <c r="E47" s="78" t="s">
        <v>124</v>
      </c>
      <c r="F47" s="91"/>
      <c r="G47" s="91"/>
      <c r="H47" s="91"/>
      <c r="I47" s="134"/>
      <c r="J47" s="144" t="s">
        <v>9</v>
      </c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438"/>
      <c r="AV47" s="442"/>
    </row>
    <row r="48" spans="1:50" ht="9" customHeight="1">
      <c r="A48" s="4"/>
      <c r="B48" s="11"/>
      <c r="C48" s="16"/>
      <c r="D48" s="66"/>
      <c r="E48" s="76" t="s">
        <v>125</v>
      </c>
      <c r="F48" s="80"/>
      <c r="G48" s="80"/>
      <c r="H48" s="80"/>
      <c r="I48" s="132"/>
      <c r="J48" s="147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305" t="s">
        <v>126</v>
      </c>
      <c r="AE48" s="305"/>
      <c r="AF48" s="305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439"/>
      <c r="AV48" s="442"/>
      <c r="AW48" s="2"/>
    </row>
    <row r="49" spans="1:49" ht="9" customHeight="1">
      <c r="A49" s="4"/>
      <c r="B49" s="11"/>
      <c r="C49" s="17" t="s">
        <v>127</v>
      </c>
      <c r="D49" s="67"/>
      <c r="E49" s="77"/>
      <c r="F49" s="90"/>
      <c r="G49" s="90"/>
      <c r="H49" s="90"/>
      <c r="I49" s="133"/>
      <c r="J49" s="148" t="s">
        <v>9</v>
      </c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306"/>
      <c r="AE49" s="306"/>
      <c r="AF49" s="306"/>
      <c r="AG49" s="161"/>
      <c r="AH49" s="161"/>
      <c r="AI49" s="161"/>
      <c r="AJ49" s="161"/>
      <c r="AK49" s="161"/>
      <c r="AL49" s="161"/>
      <c r="AM49" s="161"/>
      <c r="AN49" s="385"/>
      <c r="AO49" s="385"/>
      <c r="AP49" s="385"/>
      <c r="AQ49" s="385"/>
      <c r="AR49" s="385"/>
      <c r="AS49" s="385"/>
      <c r="AT49" s="385"/>
      <c r="AU49" s="440"/>
      <c r="AV49" s="442"/>
    </row>
    <row r="50" spans="1:49" ht="9.75" customHeigh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442"/>
    </row>
    <row r="51" spans="1:49" s="2" customFormat="1" ht="7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448"/>
    </row>
    <row r="52" spans="1:49" s="2" customFormat="1" ht="13.5" customHeight="1">
      <c r="A52" s="2"/>
      <c r="B52" s="2"/>
      <c r="C52" s="41"/>
      <c r="D52" s="41"/>
      <c r="E52" s="4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"/>
      <c r="AW52" s="2"/>
    </row>
    <row r="53" spans="1:49" s="2" customFormat="1" ht="15" customHeight="1">
      <c r="A53" s="6"/>
      <c r="B53" s="6"/>
      <c r="C53" s="41"/>
      <c r="D53" s="41"/>
      <c r="E53" s="41"/>
      <c r="F53" s="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2"/>
      <c r="W53" s="2"/>
      <c r="X53" s="2"/>
      <c r="Y53" s="2"/>
      <c r="Z53" s="2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"/>
      <c r="AW53" s="2"/>
    </row>
    <row r="54" spans="1:49" s="2" customFormat="1" ht="14.25" customHeight="1">
      <c r="A54" s="6"/>
      <c r="B54" s="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272"/>
      <c r="AA54" s="120"/>
      <c r="AB54" s="120"/>
      <c r="AC54" s="120"/>
      <c r="AD54" s="120"/>
      <c r="AE54" s="120"/>
      <c r="AF54" s="120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2"/>
      <c r="AW54" s="2"/>
    </row>
    <row r="55" spans="1:49" s="2" customFormat="1" ht="13.5" customHeight="1">
      <c r="A55" s="2"/>
      <c r="B55" s="8"/>
      <c r="C55" s="42"/>
      <c r="D55" s="42"/>
      <c r="E55" s="42"/>
      <c r="F55" s="42"/>
      <c r="G55" s="42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2"/>
      <c r="Z55" s="80"/>
      <c r="AA55" s="80"/>
      <c r="AB55" s="80"/>
      <c r="AC55" s="80"/>
      <c r="AD55" s="80"/>
      <c r="AE55" s="80"/>
      <c r="AF55" s="80"/>
      <c r="AG55" s="44"/>
      <c r="AH55" s="44"/>
      <c r="AI55" s="44"/>
      <c r="AJ55" s="44"/>
      <c r="AK55" s="44"/>
      <c r="AL55" s="44"/>
      <c r="AM55" s="44"/>
      <c r="AN55" s="44"/>
      <c r="AO55" s="42"/>
      <c r="AP55" s="44"/>
      <c r="AQ55" s="44"/>
      <c r="AR55" s="44"/>
      <c r="AS55" s="44"/>
      <c r="AT55" s="44"/>
      <c r="AU55" s="44"/>
      <c r="AV55" s="2"/>
      <c r="AW55" s="2"/>
    </row>
    <row r="56" spans="1:49" s="2" customFormat="1" ht="13.5" customHeight="1">
      <c r="A56" s="2"/>
      <c r="B56" s="8"/>
      <c r="C56" s="42"/>
      <c r="D56" s="42"/>
      <c r="E56" s="42"/>
      <c r="F56" s="42"/>
      <c r="G56" s="42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2"/>
      <c r="Z56" s="80"/>
      <c r="AA56" s="80"/>
      <c r="AB56" s="80"/>
      <c r="AC56" s="80"/>
      <c r="AD56" s="80"/>
      <c r="AE56" s="80"/>
      <c r="AF56" s="80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2"/>
      <c r="AW56" s="2"/>
    </row>
    <row r="57" spans="1:49" s="2" customFormat="1" ht="21">
      <c r="A57" s="2"/>
      <c r="B57" s="8"/>
      <c r="C57" s="42"/>
      <c r="D57" s="42"/>
      <c r="E57" s="42"/>
      <c r="F57" s="42"/>
      <c r="G57" s="4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2"/>
      <c r="Z57" s="272"/>
      <c r="AA57" s="120"/>
      <c r="AB57" s="120"/>
      <c r="AC57" s="120"/>
      <c r="AD57" s="120"/>
      <c r="AE57" s="120"/>
      <c r="AF57" s="120"/>
      <c r="AG57" s="325"/>
      <c r="AH57" s="325"/>
      <c r="AI57" s="325"/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2"/>
      <c r="AW57" s="2"/>
    </row>
    <row r="58" spans="1:49" s="2" customFormat="1" ht="21">
      <c r="A58" s="2"/>
      <c r="B58" s="8"/>
      <c r="C58" s="42"/>
      <c r="D58" s="42"/>
      <c r="E58" s="42"/>
      <c r="F58" s="42"/>
      <c r="G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2"/>
      <c r="Z58" s="42"/>
      <c r="AA58" s="44"/>
      <c r="AB58" s="44"/>
      <c r="AC58" s="44"/>
      <c r="AD58" s="44"/>
      <c r="AE58" s="44"/>
      <c r="AF58" s="44"/>
      <c r="AG58" s="325"/>
      <c r="AH58" s="325"/>
      <c r="AI58" s="325"/>
      <c r="AJ58" s="325"/>
      <c r="AK58" s="325"/>
      <c r="AL58" s="325"/>
      <c r="AM58" s="325"/>
      <c r="AN58" s="325"/>
      <c r="AO58" s="325"/>
      <c r="AP58" s="325"/>
      <c r="AQ58" s="325"/>
      <c r="AR58" s="325"/>
      <c r="AS58" s="325"/>
      <c r="AT58" s="325"/>
      <c r="AU58" s="325"/>
      <c r="AV58" s="2"/>
      <c r="AW58" s="2"/>
    </row>
    <row r="59" spans="1:49" s="2" customFormat="1" ht="21">
      <c r="A59" s="2"/>
      <c r="B59" s="8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4"/>
      <c r="AA59" s="44"/>
      <c r="AB59" s="44"/>
      <c r="AC59" s="44"/>
      <c r="AD59" s="44"/>
      <c r="AE59" s="44"/>
      <c r="AF59" s="44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2"/>
      <c r="AW59" s="2"/>
    </row>
    <row r="60" spans="1:49" s="2" customFormat="1" ht="13.5" customHeight="1">
      <c r="A60" s="2"/>
      <c r="B60" s="11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2"/>
      <c r="AW60" s="2"/>
    </row>
    <row r="61" spans="1:49" s="2" customFormat="1" ht="10.5" customHeight="1">
      <c r="A61" s="2"/>
      <c r="B61" s="2"/>
      <c r="C61" s="44"/>
      <c r="D61" s="44"/>
      <c r="E61" s="44"/>
      <c r="F61" s="44"/>
      <c r="G61" s="44"/>
      <c r="H61" s="44"/>
      <c r="I61" s="44"/>
      <c r="J61" s="44"/>
      <c r="K61" s="44"/>
      <c r="L61" s="47"/>
      <c r="M61" s="44"/>
      <c r="N61" s="79"/>
      <c r="O61" s="47"/>
      <c r="P61" s="47"/>
      <c r="Q61" s="47"/>
      <c r="R61" s="47"/>
      <c r="S61" s="47"/>
      <c r="T61" s="47"/>
      <c r="U61" s="47"/>
      <c r="V61" s="247"/>
      <c r="W61" s="47"/>
      <c r="X61" s="47"/>
      <c r="Y61" s="47"/>
      <c r="Z61" s="47"/>
      <c r="AA61" s="47"/>
      <c r="AB61" s="47"/>
      <c r="AC61" s="47"/>
      <c r="AD61" s="47"/>
      <c r="AE61" s="247"/>
      <c r="AF61" s="47"/>
      <c r="AG61" s="47"/>
      <c r="AH61" s="47"/>
      <c r="AI61" s="47"/>
      <c r="AJ61" s="47"/>
      <c r="AK61" s="47"/>
      <c r="AL61" s="47"/>
      <c r="AM61" s="47"/>
      <c r="AN61" s="47"/>
      <c r="AO61" s="247"/>
      <c r="AP61" s="47"/>
      <c r="AQ61" s="47"/>
      <c r="AR61" s="47"/>
      <c r="AS61" s="47"/>
      <c r="AT61" s="47"/>
      <c r="AU61" s="47"/>
      <c r="AV61" s="2"/>
      <c r="AW61" s="2"/>
    </row>
    <row r="62" spans="1:49" s="2" customFormat="1" ht="10.5" customHeight="1">
      <c r="A62" s="2"/>
      <c r="B62" s="2"/>
      <c r="C62" s="44"/>
      <c r="D62" s="44"/>
      <c r="E62" s="44"/>
      <c r="F62" s="44"/>
      <c r="G62" s="44"/>
      <c r="H62" s="44"/>
      <c r="I62" s="44"/>
      <c r="J62" s="44"/>
      <c r="K62" s="4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2"/>
      <c r="AW62" s="2"/>
    </row>
    <row r="63" spans="1:49" s="2" customFormat="1" ht="13.5" customHeight="1">
      <c r="A63" s="2"/>
      <c r="B63" s="2"/>
      <c r="C63" s="44"/>
      <c r="D63" s="44"/>
      <c r="E63" s="44"/>
      <c r="F63" s="44"/>
      <c r="G63" s="44"/>
      <c r="H63" s="44"/>
      <c r="I63" s="44"/>
      <c r="J63" s="44"/>
      <c r="K63" s="4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2"/>
      <c r="AW63" s="2"/>
    </row>
    <row r="64" spans="1:49" s="2" customFormat="1">
      <c r="A64" s="2"/>
      <c r="B64" s="2"/>
      <c r="C64" s="45"/>
      <c r="D64" s="45"/>
      <c r="E64" s="45"/>
      <c r="F64" s="45"/>
      <c r="G64" s="45"/>
      <c r="H64" s="118"/>
      <c r="I64" s="135"/>
      <c r="J64" s="135"/>
      <c r="K64" s="135"/>
      <c r="L64" s="135"/>
      <c r="M64" s="135"/>
      <c r="N64" s="45"/>
      <c r="O64" s="45"/>
      <c r="P64" s="45"/>
      <c r="Q64" s="45"/>
      <c r="R64" s="45"/>
      <c r="S64" s="45"/>
      <c r="T64" s="45"/>
      <c r="U64" s="45"/>
      <c r="V64" s="45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2"/>
      <c r="AW64" s="2"/>
    </row>
    <row r="65" spans="2:47" s="2" customFormat="1">
      <c r="B65" s="2"/>
      <c r="C65" s="46"/>
      <c r="D65" s="46"/>
      <c r="E65" s="46"/>
      <c r="F65" s="46"/>
      <c r="G65" s="103"/>
      <c r="H65" s="119"/>
      <c r="I65" s="120"/>
      <c r="J65" s="120"/>
      <c r="K65" s="120"/>
      <c r="L65" s="120"/>
      <c r="M65" s="120"/>
      <c r="N65" s="45"/>
      <c r="O65" s="45"/>
      <c r="P65" s="45"/>
      <c r="Q65" s="45"/>
      <c r="R65" s="45"/>
      <c r="S65" s="45"/>
      <c r="T65" s="45"/>
      <c r="U65" s="46"/>
      <c r="V65" s="46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</row>
    <row r="66" spans="2:47" s="2" customFormat="1" ht="13.5" customHeight="1">
      <c r="B66" s="2"/>
      <c r="C66" s="46"/>
      <c r="D66" s="46"/>
      <c r="E66" s="46"/>
      <c r="F66" s="46"/>
      <c r="G66" s="103"/>
      <c r="H66" s="120"/>
      <c r="I66" s="120"/>
      <c r="J66" s="120"/>
      <c r="K66" s="120"/>
      <c r="L66" s="120"/>
      <c r="M66" s="120"/>
      <c r="N66" s="43"/>
      <c r="O66" s="43"/>
      <c r="P66" s="43"/>
      <c r="Q66" s="43"/>
      <c r="R66" s="43"/>
      <c r="S66" s="43"/>
      <c r="T66" s="43"/>
      <c r="U66" s="43"/>
      <c r="V66" s="247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</row>
    <row r="67" spans="2:47" s="2" customFormat="1" ht="9" customHeight="1">
      <c r="B67" s="2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79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</row>
    <row r="68" spans="2:47" s="2" customFormat="1" ht="9" customHeight="1">
      <c r="B68" s="2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79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</row>
    <row r="69" spans="2:47" s="2" customFormat="1" ht="15.75" customHeight="1">
      <c r="B69" s="2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</row>
    <row r="70" spans="2:47" s="2" customFormat="1" ht="10.5" customHeight="1">
      <c r="B70" s="2"/>
      <c r="C70" s="42"/>
      <c r="D70" s="42"/>
      <c r="E70" s="42"/>
      <c r="F70" s="42"/>
      <c r="G70" s="42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80"/>
      <c r="AH70" s="80"/>
      <c r="AI70" s="80"/>
      <c r="AJ70" s="80"/>
      <c r="AK70" s="80"/>
      <c r="AL70" s="80"/>
      <c r="AM70" s="80"/>
      <c r="AN70" s="47"/>
      <c r="AO70" s="247"/>
      <c r="AP70" s="47"/>
      <c r="AQ70" s="47"/>
      <c r="AR70" s="47"/>
      <c r="AS70" s="47"/>
      <c r="AT70" s="47"/>
      <c r="AU70" s="47"/>
    </row>
    <row r="71" spans="2:47" s="2" customFormat="1" ht="13.5" customHeight="1">
      <c r="B71" s="2"/>
      <c r="C71" s="44"/>
      <c r="D71" s="44"/>
      <c r="E71" s="44"/>
      <c r="F71" s="44"/>
      <c r="G71" s="44"/>
      <c r="H71" s="47"/>
      <c r="I71" s="47"/>
      <c r="J71" s="47"/>
      <c r="K71" s="47"/>
      <c r="L71" s="47"/>
      <c r="M71" s="44"/>
      <c r="N71" s="44"/>
      <c r="O71" s="44"/>
      <c r="P71" s="47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80"/>
      <c r="AH71" s="80"/>
      <c r="AI71" s="80"/>
      <c r="AJ71" s="80"/>
      <c r="AK71" s="80"/>
      <c r="AL71" s="80"/>
      <c r="AM71" s="80"/>
      <c r="AN71" s="44"/>
      <c r="AO71" s="44"/>
      <c r="AP71" s="44"/>
      <c r="AQ71" s="44"/>
      <c r="AR71" s="44"/>
      <c r="AS71" s="44"/>
      <c r="AT71" s="44"/>
      <c r="AU71" s="44"/>
    </row>
    <row r="72" spans="2:47" s="2" customFormat="1" ht="10.5" customHeight="1">
      <c r="B72" s="2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6"/>
      <c r="AH72" s="46"/>
      <c r="AI72" s="46"/>
      <c r="AJ72" s="46"/>
      <c r="AK72" s="46"/>
      <c r="AL72" s="46"/>
      <c r="AM72" s="46"/>
      <c r="AN72" s="47"/>
      <c r="AO72" s="247"/>
      <c r="AP72" s="47"/>
      <c r="AQ72" s="47"/>
      <c r="AR72" s="47"/>
      <c r="AS72" s="47"/>
      <c r="AT72" s="47"/>
      <c r="AU72" s="47"/>
    </row>
    <row r="73" spans="2:47" s="2" customFormat="1" ht="13.5" customHeight="1">
      <c r="B73" s="2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6"/>
      <c r="AH73" s="46"/>
      <c r="AI73" s="46"/>
      <c r="AJ73" s="46"/>
      <c r="AK73" s="46"/>
      <c r="AL73" s="46"/>
      <c r="AM73" s="46"/>
      <c r="AN73" s="44"/>
      <c r="AO73" s="44"/>
      <c r="AP73" s="44"/>
      <c r="AQ73" s="44"/>
      <c r="AR73" s="44"/>
      <c r="AS73" s="44"/>
      <c r="AT73" s="44"/>
      <c r="AU73" s="44"/>
    </row>
    <row r="74" spans="2:47" s="2" customFormat="1" ht="10.5" customHeight="1">
      <c r="B74" s="2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6"/>
      <c r="AH74" s="46"/>
      <c r="AI74" s="46"/>
      <c r="AJ74" s="46"/>
      <c r="AK74" s="46"/>
      <c r="AL74" s="46"/>
      <c r="AM74" s="46"/>
      <c r="AN74" s="47"/>
      <c r="AO74" s="247"/>
      <c r="AP74" s="47"/>
      <c r="AQ74" s="47"/>
      <c r="AR74" s="47"/>
      <c r="AS74" s="47"/>
      <c r="AT74" s="47"/>
      <c r="AU74" s="47"/>
    </row>
    <row r="75" spans="2:47" s="2" customFormat="1" ht="13.5" customHeight="1">
      <c r="B75" s="2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6"/>
      <c r="AH75" s="46"/>
      <c r="AI75" s="46"/>
      <c r="AJ75" s="46"/>
      <c r="AK75" s="46"/>
      <c r="AL75" s="46"/>
      <c r="AM75" s="46"/>
      <c r="AN75" s="44"/>
      <c r="AO75" s="44"/>
      <c r="AP75" s="44"/>
      <c r="AQ75" s="44"/>
      <c r="AR75" s="44"/>
      <c r="AS75" s="44"/>
      <c r="AT75" s="44"/>
      <c r="AU75" s="44"/>
    </row>
    <row r="76" spans="2:47" s="2" customFormat="1" ht="9.75" customHeight="1">
      <c r="B76" s="2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4"/>
      <c r="R76" s="44"/>
      <c r="S76" s="47"/>
      <c r="T76" s="47"/>
      <c r="U76" s="47"/>
      <c r="V76" s="80"/>
      <c r="W76" s="120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</row>
    <row r="77" spans="2:47" s="2" customFormat="1" ht="9" customHeight="1">
      <c r="B77" s="8"/>
      <c r="C77" s="47"/>
      <c r="D77" s="47"/>
      <c r="E77" s="79"/>
      <c r="F77" s="79"/>
      <c r="G77" s="104"/>
      <c r="H77" s="104"/>
      <c r="I77" s="47"/>
      <c r="J77" s="47"/>
      <c r="K77" s="47"/>
      <c r="L77" s="47"/>
      <c r="M77" s="47"/>
      <c r="N77" s="47"/>
      <c r="O77" s="47"/>
      <c r="P77" s="44"/>
      <c r="Q77" s="47"/>
      <c r="R77" s="44"/>
      <c r="S77" s="46"/>
      <c r="T77" s="46"/>
      <c r="U77" s="47"/>
      <c r="V77" s="80"/>
      <c r="W77" s="120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4"/>
      <c r="AP77" s="43"/>
      <c r="AQ77" s="44"/>
      <c r="AR77" s="44"/>
      <c r="AS77" s="43"/>
      <c r="AT77" s="44"/>
      <c r="AU77" s="44"/>
    </row>
    <row r="78" spans="2:47" s="2" customFormat="1" ht="9" customHeight="1">
      <c r="B78" s="8"/>
      <c r="C78" s="44"/>
      <c r="D78" s="44"/>
      <c r="E78" s="44"/>
      <c r="F78" s="44"/>
      <c r="G78" s="44"/>
      <c r="H78" s="44"/>
      <c r="I78" s="47"/>
      <c r="J78" s="47"/>
      <c r="K78" s="47"/>
      <c r="L78" s="47"/>
      <c r="M78" s="44"/>
      <c r="N78" s="44"/>
      <c r="O78" s="47"/>
      <c r="P78" s="44"/>
      <c r="Q78" s="47"/>
      <c r="R78" s="44"/>
      <c r="S78" s="46"/>
      <c r="T78" s="46"/>
      <c r="U78" s="47"/>
      <c r="V78" s="80"/>
      <c r="W78" s="120"/>
      <c r="X78" s="43"/>
      <c r="Y78" s="43"/>
      <c r="Z78" s="43"/>
      <c r="AA78" s="43"/>
      <c r="AB78" s="43"/>
      <c r="AC78" s="43"/>
      <c r="AD78" s="43"/>
      <c r="AE78" s="43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</row>
    <row r="79" spans="2:47" s="2" customFormat="1" ht="14.25" customHeight="1">
      <c r="B79" s="11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320"/>
      <c r="AG79" s="103"/>
      <c r="AH79" s="103"/>
      <c r="AI79" s="103"/>
      <c r="AJ79" s="103"/>
      <c r="AK79" s="103"/>
      <c r="AL79" s="103"/>
      <c r="AM79" s="103"/>
      <c r="AN79" s="44"/>
      <c r="AO79" s="44"/>
      <c r="AP79" s="44"/>
      <c r="AQ79" s="44"/>
      <c r="AR79" s="44"/>
      <c r="AS79" s="44"/>
      <c r="AT79" s="44"/>
      <c r="AU79" s="44"/>
    </row>
    <row r="80" spans="2:47" s="2" customFormat="1" ht="9" customHeight="1">
      <c r="B80" s="11"/>
      <c r="C80" s="42"/>
      <c r="D80" s="42"/>
      <c r="E80" s="80"/>
      <c r="F80" s="80"/>
      <c r="G80" s="80"/>
      <c r="H80" s="80"/>
      <c r="I80" s="80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43"/>
      <c r="AO80" s="43"/>
      <c r="AP80" s="43"/>
      <c r="AQ80" s="43"/>
      <c r="AR80" s="43"/>
      <c r="AS80" s="43"/>
      <c r="AT80" s="43"/>
      <c r="AU80" s="43"/>
    </row>
    <row r="81" spans="1:47" s="2" customFormat="1" ht="9" customHeight="1">
      <c r="A81" s="2"/>
      <c r="B81" s="11"/>
      <c r="C81" s="42"/>
      <c r="D81" s="42"/>
      <c r="E81" s="80"/>
      <c r="F81" s="80"/>
      <c r="G81" s="80"/>
      <c r="H81" s="80"/>
      <c r="I81" s="80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43"/>
      <c r="AO81" s="43"/>
      <c r="AP81" s="43"/>
      <c r="AQ81" s="43"/>
      <c r="AR81" s="43"/>
      <c r="AS81" s="43"/>
      <c r="AT81" s="43"/>
      <c r="AU81" s="43"/>
    </row>
    <row r="82" spans="1:47" s="2" customFormat="1" ht="9" customHeight="1">
      <c r="A82" s="2"/>
      <c r="B82" s="11"/>
      <c r="C82" s="42"/>
      <c r="D82" s="42"/>
      <c r="E82" s="80"/>
      <c r="F82" s="80"/>
      <c r="G82" s="80"/>
      <c r="H82" s="80"/>
      <c r="I82" s="80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43"/>
      <c r="AO82" s="43"/>
      <c r="AP82" s="43"/>
      <c r="AQ82" s="43"/>
      <c r="AR82" s="43"/>
      <c r="AS82" s="43"/>
      <c r="AT82" s="43"/>
      <c r="AU82" s="43"/>
    </row>
    <row r="83" spans="1:47" s="2" customFormat="1" ht="9" customHeight="1">
      <c r="A83" s="2"/>
      <c r="B83" s="11"/>
      <c r="C83" s="42"/>
      <c r="D83" s="42"/>
      <c r="E83" s="80"/>
      <c r="F83" s="80"/>
      <c r="G83" s="80"/>
      <c r="H83" s="80"/>
      <c r="I83" s="80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43"/>
      <c r="AO83" s="43"/>
      <c r="AP83" s="43"/>
      <c r="AQ83" s="43"/>
      <c r="AR83" s="43"/>
      <c r="AS83" s="43"/>
      <c r="AT83" s="43"/>
      <c r="AU83" s="43"/>
    </row>
    <row r="84" spans="1:47" s="2" customFormat="1" ht="9" customHeight="1">
      <c r="A84" s="2"/>
      <c r="B84" s="11"/>
      <c r="C84" s="42"/>
      <c r="D84" s="42"/>
      <c r="E84" s="80"/>
      <c r="F84" s="80"/>
      <c r="G84" s="80"/>
      <c r="H84" s="80"/>
      <c r="I84" s="80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43"/>
      <c r="AO84" s="43"/>
      <c r="AP84" s="43"/>
      <c r="AQ84" s="43"/>
      <c r="AR84" s="43"/>
      <c r="AS84" s="43"/>
      <c r="AT84" s="43"/>
      <c r="AU84" s="43"/>
    </row>
    <row r="85" spans="1:47" s="2" customFormat="1" ht="9" customHeight="1">
      <c r="A85" s="2"/>
      <c r="B85" s="11"/>
      <c r="C85" s="42"/>
      <c r="D85" s="42"/>
      <c r="E85" s="80"/>
      <c r="F85" s="80"/>
      <c r="G85" s="80"/>
      <c r="H85" s="80"/>
      <c r="I85" s="80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</row>
    <row r="86" spans="1:47" s="2" customFormat="1" ht="23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s="2" customFormat="1" ht="7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2" customFormat="1" ht="11.25" customHeight="1">
      <c r="A88" s="2"/>
      <c r="B88" s="2"/>
      <c r="C88" s="41"/>
      <c r="D88" s="41"/>
      <c r="E88" s="4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408"/>
      <c r="AT88" s="408"/>
      <c r="AU88" s="408"/>
    </row>
    <row r="89" spans="1:47" s="2" customFormat="1" ht="17.25" customHeight="1">
      <c r="A89" s="6"/>
      <c r="B89" s="6"/>
      <c r="C89" s="41"/>
      <c r="D89" s="41"/>
      <c r="E89" s="41"/>
      <c r="F89" s="2"/>
      <c r="G89" s="102"/>
      <c r="H89" s="102"/>
      <c r="I89" s="102"/>
      <c r="J89" s="102"/>
      <c r="K89" s="102"/>
      <c r="L89" s="102"/>
      <c r="M89" s="102"/>
      <c r="N89" s="149"/>
      <c r="O89" s="149"/>
      <c r="P89" s="149"/>
      <c r="Q89" s="149"/>
      <c r="R89" s="149"/>
      <c r="S89" s="10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81"/>
      <c r="AH89" s="281"/>
      <c r="AI89" s="281"/>
      <c r="AJ89" s="281"/>
      <c r="AK89" s="281"/>
      <c r="AL89" s="281"/>
      <c r="AM89" s="281"/>
      <c r="AN89" s="281"/>
      <c r="AO89" s="281"/>
      <c r="AP89" s="281"/>
      <c r="AQ89" s="281"/>
      <c r="AR89" s="281"/>
      <c r="AS89" s="281"/>
      <c r="AT89" s="281"/>
      <c r="AU89" s="281"/>
    </row>
    <row r="90" spans="1:47" s="2" customFormat="1" ht="14.25" customHeight="1">
      <c r="A90" s="6"/>
      <c r="B90" s="6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272"/>
      <c r="AA90" s="120"/>
      <c r="AB90" s="120"/>
      <c r="AC90" s="120"/>
      <c r="AD90" s="120"/>
      <c r="AE90" s="120"/>
      <c r="AF90" s="120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</row>
    <row r="91" spans="1:47" s="2" customFormat="1" ht="13.5" customHeight="1">
      <c r="A91" s="2"/>
      <c r="B91" s="8"/>
      <c r="C91" s="42"/>
      <c r="D91" s="42"/>
      <c r="E91" s="42"/>
      <c r="F91" s="42"/>
      <c r="G91" s="4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80"/>
      <c r="AA91" s="80"/>
      <c r="AB91" s="80"/>
      <c r="AC91" s="80"/>
      <c r="AD91" s="80"/>
      <c r="AE91" s="80"/>
      <c r="AF91" s="80"/>
      <c r="AG91" s="44"/>
      <c r="AH91" s="44"/>
      <c r="AI91" s="44"/>
      <c r="AJ91" s="44"/>
      <c r="AK91" s="44"/>
      <c r="AL91" s="44"/>
      <c r="AM91" s="44"/>
      <c r="AN91" s="44"/>
      <c r="AO91" s="42"/>
      <c r="AP91" s="44"/>
      <c r="AQ91" s="44"/>
      <c r="AR91" s="44"/>
      <c r="AS91" s="44"/>
      <c r="AT91" s="44"/>
      <c r="AU91" s="44"/>
    </row>
    <row r="92" spans="1:47" s="2" customFormat="1" ht="13.5" customHeight="1">
      <c r="A92" s="2"/>
      <c r="B92" s="8"/>
      <c r="C92" s="42"/>
      <c r="D92" s="42"/>
      <c r="E92" s="42"/>
      <c r="F92" s="42"/>
      <c r="G92" s="4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80"/>
      <c r="AA92" s="80"/>
      <c r="AB92" s="80"/>
      <c r="AC92" s="80"/>
      <c r="AD92" s="80"/>
      <c r="AE92" s="80"/>
      <c r="AF92" s="80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</row>
    <row r="93" spans="1:47" s="2" customFormat="1" ht="13.5" customHeight="1">
      <c r="A93" s="2"/>
      <c r="B93" s="8"/>
      <c r="C93" s="42"/>
      <c r="D93" s="42"/>
      <c r="E93" s="42"/>
      <c r="F93" s="42"/>
      <c r="G93" s="4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272"/>
      <c r="AA93" s="120"/>
      <c r="AB93" s="120"/>
      <c r="AC93" s="120"/>
      <c r="AD93" s="120"/>
      <c r="AE93" s="120"/>
      <c r="AF93" s="120"/>
      <c r="AG93" s="325"/>
      <c r="AH93" s="325"/>
      <c r="AI93" s="325"/>
      <c r="AJ93" s="325"/>
      <c r="AK93" s="325"/>
      <c r="AL93" s="325"/>
      <c r="AM93" s="325"/>
      <c r="AN93" s="325"/>
      <c r="AO93" s="325"/>
      <c r="AP93" s="325"/>
      <c r="AQ93" s="325"/>
      <c r="AR93" s="325"/>
      <c r="AS93" s="325"/>
      <c r="AT93" s="325"/>
      <c r="AU93" s="325"/>
    </row>
    <row r="94" spans="1:47" s="2" customFormat="1" ht="13.5" customHeight="1">
      <c r="A94" s="2"/>
      <c r="B94" s="8"/>
      <c r="C94" s="42"/>
      <c r="D94" s="42"/>
      <c r="E94" s="42"/>
      <c r="F94" s="42"/>
      <c r="G94" s="4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2"/>
      <c r="AA94" s="44"/>
      <c r="AB94" s="44"/>
      <c r="AC94" s="44"/>
      <c r="AD94" s="44"/>
      <c r="AE94" s="44"/>
      <c r="AF94" s="44"/>
      <c r="AG94" s="325"/>
      <c r="AH94" s="325"/>
      <c r="AI94" s="325"/>
      <c r="AJ94" s="325"/>
      <c r="AK94" s="325"/>
      <c r="AL94" s="325"/>
      <c r="AM94" s="325"/>
      <c r="AN94" s="325"/>
      <c r="AO94" s="325"/>
      <c r="AP94" s="325"/>
      <c r="AQ94" s="325"/>
      <c r="AR94" s="325"/>
      <c r="AS94" s="325"/>
      <c r="AT94" s="325"/>
      <c r="AU94" s="325"/>
    </row>
    <row r="95" spans="1:47" s="2" customFormat="1" ht="13.5" customHeight="1">
      <c r="A95" s="2"/>
      <c r="B95" s="8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4"/>
      <c r="AA95" s="44"/>
      <c r="AB95" s="44"/>
      <c r="AC95" s="44"/>
      <c r="AD95" s="44"/>
      <c r="AE95" s="44"/>
      <c r="AF95" s="44"/>
      <c r="AG95" s="325"/>
      <c r="AH95" s="325"/>
      <c r="AI95" s="325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5"/>
      <c r="AU95" s="325"/>
    </row>
    <row r="96" spans="1:47" s="2" customFormat="1" ht="13.5" customHeight="1">
      <c r="A96" s="2"/>
      <c r="B96" s="1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</row>
    <row r="97" spans="3:47" s="2" customFormat="1" ht="13.5" customHeight="1">
      <c r="C97" s="44"/>
      <c r="D97" s="44"/>
      <c r="E97" s="44"/>
      <c r="F97" s="44"/>
      <c r="G97" s="44"/>
      <c r="H97" s="44"/>
      <c r="I97" s="44"/>
      <c r="J97" s="44"/>
      <c r="K97" s="44"/>
      <c r="L97" s="175"/>
      <c r="M97" s="8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175"/>
      <c r="AN97" s="175"/>
      <c r="AO97" s="47"/>
      <c r="AP97" s="47"/>
      <c r="AQ97" s="47"/>
      <c r="AR97" s="47"/>
      <c r="AS97" s="47"/>
      <c r="AT97" s="47"/>
      <c r="AU97" s="47"/>
    </row>
    <row r="98" spans="3:47" s="2" customFormat="1" ht="10.5" customHeight="1">
      <c r="C98" s="44"/>
      <c r="D98" s="44"/>
      <c r="E98" s="44"/>
      <c r="F98" s="44"/>
      <c r="G98" s="44"/>
      <c r="H98" s="44"/>
      <c r="I98" s="44"/>
      <c r="J98" s="44"/>
      <c r="K98" s="4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</row>
    <row r="99" spans="3:47" s="2" customFormat="1" ht="10.5" customHeight="1">
      <c r="C99" s="44"/>
      <c r="D99" s="44"/>
      <c r="E99" s="44"/>
      <c r="F99" s="44"/>
      <c r="G99" s="44"/>
      <c r="H99" s="44"/>
      <c r="I99" s="44"/>
      <c r="J99" s="44"/>
      <c r="K99" s="4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</row>
    <row r="100" spans="3:47" s="2" customFormat="1" ht="13.5" customHeight="1">
      <c r="C100" s="45"/>
      <c r="D100" s="45"/>
      <c r="E100" s="45"/>
      <c r="F100" s="45"/>
      <c r="G100" s="45"/>
      <c r="H100" s="118"/>
      <c r="I100" s="135"/>
      <c r="J100" s="135"/>
      <c r="K100" s="135"/>
      <c r="L100" s="135"/>
      <c r="M100" s="135"/>
      <c r="N100" s="45"/>
      <c r="O100" s="45"/>
      <c r="P100" s="45"/>
      <c r="Q100" s="45"/>
      <c r="R100" s="45"/>
      <c r="S100" s="45"/>
      <c r="T100" s="45"/>
      <c r="U100" s="45"/>
      <c r="V100" s="45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</row>
    <row r="101" spans="3:47" s="2" customFormat="1" ht="13.5" customHeight="1">
      <c r="C101" s="46"/>
      <c r="D101" s="46"/>
      <c r="E101" s="46"/>
      <c r="F101" s="46"/>
      <c r="G101" s="103"/>
      <c r="H101" s="119"/>
      <c r="I101" s="120"/>
      <c r="J101" s="120"/>
      <c r="K101" s="120"/>
      <c r="L101" s="120"/>
      <c r="M101" s="120"/>
      <c r="N101" s="45"/>
      <c r="O101" s="45"/>
      <c r="P101" s="45"/>
      <c r="Q101" s="45"/>
      <c r="R101" s="45"/>
      <c r="S101" s="45"/>
      <c r="T101" s="45"/>
      <c r="U101" s="46"/>
      <c r="V101" s="46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</row>
    <row r="102" spans="3:47" s="2" customFormat="1" ht="13.5" customHeight="1">
      <c r="C102" s="46"/>
      <c r="D102" s="46"/>
      <c r="E102" s="46"/>
      <c r="F102" s="46"/>
      <c r="G102" s="103"/>
      <c r="H102" s="120"/>
      <c r="I102" s="120"/>
      <c r="J102" s="120"/>
      <c r="K102" s="120"/>
      <c r="L102" s="120"/>
      <c r="M102" s="120"/>
      <c r="N102" s="43"/>
      <c r="O102" s="43"/>
      <c r="P102" s="43"/>
      <c r="Q102" s="43"/>
      <c r="R102" s="43"/>
      <c r="S102" s="43"/>
      <c r="T102" s="43"/>
      <c r="U102" s="43"/>
      <c r="V102" s="247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</row>
    <row r="103" spans="3:47" s="2" customFormat="1" ht="9" customHeight="1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2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</row>
    <row r="104" spans="3:47" s="2" customFormat="1" ht="9" customHeight="1">
      <c r="C104" s="44"/>
      <c r="D104" s="44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1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</row>
    <row r="105" spans="3:47" s="2" customFormat="1" ht="15.75" customHeight="1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1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</row>
    <row r="106" spans="3:47" s="2" customFormat="1" ht="10.5" customHeight="1">
      <c r="C106" s="42"/>
      <c r="D106" s="42"/>
      <c r="E106" s="42"/>
      <c r="F106" s="42"/>
      <c r="G106" s="42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80"/>
      <c r="AH106" s="80"/>
      <c r="AI106" s="80"/>
      <c r="AJ106" s="80"/>
      <c r="AK106" s="80"/>
      <c r="AL106" s="80"/>
      <c r="AM106" s="80"/>
      <c r="AN106" s="47"/>
      <c r="AO106" s="47"/>
      <c r="AP106" s="47"/>
      <c r="AQ106" s="47"/>
      <c r="AR106" s="47"/>
      <c r="AS106" s="47"/>
      <c r="AT106" s="47"/>
      <c r="AU106" s="47"/>
    </row>
    <row r="107" spans="3:47" s="2" customFormat="1" ht="13.5" customHeight="1">
      <c r="C107" s="44"/>
      <c r="D107" s="44"/>
      <c r="E107" s="44"/>
      <c r="F107" s="44"/>
      <c r="G107" s="44"/>
      <c r="H107" s="47"/>
      <c r="I107" s="47"/>
      <c r="J107" s="47"/>
      <c r="K107" s="47"/>
      <c r="L107" s="47"/>
      <c r="M107" s="44"/>
      <c r="N107" s="44"/>
      <c r="O107" s="44"/>
      <c r="P107" s="47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80"/>
      <c r="AH107" s="80"/>
      <c r="AI107" s="80"/>
      <c r="AJ107" s="80"/>
      <c r="AK107" s="80"/>
      <c r="AL107" s="80"/>
      <c r="AM107" s="80"/>
      <c r="AN107" s="44"/>
      <c r="AO107" s="44"/>
      <c r="AP107" s="44"/>
      <c r="AQ107" s="44"/>
      <c r="AR107" s="44"/>
      <c r="AS107" s="44"/>
      <c r="AT107" s="44"/>
      <c r="AU107" s="44"/>
    </row>
    <row r="108" spans="3:47" s="2" customFormat="1" ht="10.5" customHeight="1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6"/>
      <c r="AH108" s="46"/>
      <c r="AI108" s="46"/>
      <c r="AJ108" s="46"/>
      <c r="AK108" s="46"/>
      <c r="AL108" s="46"/>
      <c r="AM108" s="46"/>
      <c r="AN108" s="47"/>
      <c r="AO108" s="47"/>
      <c r="AP108" s="47"/>
      <c r="AQ108" s="47"/>
      <c r="AR108" s="47"/>
      <c r="AS108" s="47"/>
      <c r="AT108" s="47"/>
      <c r="AU108" s="47"/>
    </row>
    <row r="109" spans="3:47" s="2" customFormat="1" ht="13.5" customHeight="1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6"/>
      <c r="AH109" s="46"/>
      <c r="AI109" s="46"/>
      <c r="AJ109" s="46"/>
      <c r="AK109" s="46"/>
      <c r="AL109" s="46"/>
      <c r="AM109" s="46"/>
      <c r="AN109" s="44"/>
      <c r="AO109" s="44"/>
      <c r="AP109" s="44"/>
      <c r="AQ109" s="44"/>
      <c r="AR109" s="44"/>
      <c r="AS109" s="44"/>
      <c r="AT109" s="44"/>
      <c r="AU109" s="44"/>
    </row>
    <row r="110" spans="3:47" s="2" customFormat="1" ht="10.5" customHeight="1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6"/>
      <c r="AH110" s="46"/>
      <c r="AI110" s="46"/>
      <c r="AJ110" s="46"/>
      <c r="AK110" s="46"/>
      <c r="AL110" s="46"/>
      <c r="AM110" s="46"/>
      <c r="AN110" s="47"/>
      <c r="AO110" s="47"/>
      <c r="AP110" s="47"/>
      <c r="AQ110" s="47"/>
      <c r="AR110" s="47"/>
      <c r="AS110" s="47"/>
      <c r="AT110" s="47"/>
      <c r="AU110" s="47"/>
    </row>
    <row r="111" spans="3:47" s="2" customFormat="1" ht="13.5" customHeight="1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6"/>
      <c r="AH111" s="46"/>
      <c r="AI111" s="46"/>
      <c r="AJ111" s="46"/>
      <c r="AK111" s="46"/>
      <c r="AL111" s="46"/>
      <c r="AM111" s="46"/>
      <c r="AN111" s="44"/>
      <c r="AO111" s="44"/>
      <c r="AP111" s="44"/>
      <c r="AQ111" s="44"/>
      <c r="AR111" s="44"/>
      <c r="AS111" s="44"/>
      <c r="AT111" s="44"/>
      <c r="AU111" s="44"/>
    </row>
    <row r="112" spans="3:47" s="2" customFormat="1" ht="9.75" customHeight="1">
      <c r="C112" s="47"/>
      <c r="D112" s="47"/>
      <c r="E112" s="79"/>
      <c r="F112" s="79"/>
      <c r="G112" s="104"/>
      <c r="H112" s="44"/>
      <c r="I112" s="47"/>
      <c r="J112" s="47"/>
      <c r="K112" s="47"/>
      <c r="L112" s="47"/>
      <c r="M112" s="47"/>
      <c r="N112" s="47"/>
      <c r="O112" s="47"/>
      <c r="P112" s="47"/>
      <c r="Q112" s="44"/>
      <c r="R112" s="44"/>
      <c r="S112" s="46"/>
      <c r="T112" s="120"/>
      <c r="U112" s="47"/>
      <c r="V112" s="80"/>
      <c r="W112" s="120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</row>
    <row r="113" spans="2:47" s="2" customFormat="1" ht="9" customHeight="1">
      <c r="B113" s="12"/>
      <c r="C113" s="44"/>
      <c r="D113" s="44"/>
      <c r="E113" s="79"/>
      <c r="F113" s="79"/>
      <c r="G113" s="44"/>
      <c r="H113" s="44"/>
      <c r="I113" s="47"/>
      <c r="J113" s="47"/>
      <c r="K113" s="47"/>
      <c r="L113" s="47"/>
      <c r="M113" s="44"/>
      <c r="N113" s="44"/>
      <c r="O113" s="47"/>
      <c r="P113" s="44"/>
      <c r="Q113" s="47"/>
      <c r="R113" s="44"/>
      <c r="S113" s="120"/>
      <c r="T113" s="120"/>
      <c r="U113" s="44"/>
      <c r="V113" s="80"/>
      <c r="W113" s="120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4"/>
      <c r="AP113" s="43"/>
      <c r="AQ113" s="44"/>
      <c r="AR113" s="44"/>
      <c r="AS113" s="43"/>
      <c r="AT113" s="44"/>
      <c r="AU113" s="44"/>
    </row>
    <row r="114" spans="2:47" s="2" customFormat="1" ht="9" customHeight="1">
      <c r="B114" s="2"/>
      <c r="C114" s="44"/>
      <c r="D114" s="44"/>
      <c r="E114" s="79"/>
      <c r="F114" s="79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120"/>
      <c r="T114" s="120"/>
      <c r="U114" s="44"/>
      <c r="V114" s="80"/>
      <c r="W114" s="120"/>
      <c r="X114" s="43"/>
      <c r="Y114" s="43"/>
      <c r="Z114" s="43"/>
      <c r="AA114" s="43"/>
      <c r="AB114" s="43"/>
      <c r="AC114" s="43"/>
      <c r="AD114" s="43"/>
      <c r="AE114" s="43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2:47" s="2" customFormat="1" ht="14.25" customHeight="1">
      <c r="B115" s="2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320"/>
      <c r="AG115" s="103"/>
      <c r="AH115" s="103"/>
      <c r="AI115" s="103"/>
      <c r="AJ115" s="103"/>
      <c r="AK115" s="103"/>
      <c r="AL115" s="103"/>
      <c r="AM115" s="103"/>
      <c r="AN115" s="44"/>
      <c r="AO115" s="44"/>
      <c r="AP115" s="44"/>
      <c r="AQ115" s="44"/>
      <c r="AR115" s="44"/>
      <c r="AS115" s="44"/>
      <c r="AT115" s="44"/>
      <c r="AU115" s="44"/>
    </row>
    <row r="116" spans="2:47" s="2" customFormat="1" ht="9" customHeight="1">
      <c r="B116" s="2"/>
      <c r="C116" s="42"/>
      <c r="D116" s="42"/>
      <c r="E116" s="80"/>
      <c r="F116" s="80"/>
      <c r="G116" s="80"/>
      <c r="H116" s="80"/>
      <c r="I116" s="80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43"/>
      <c r="AO116" s="43"/>
      <c r="AP116" s="43"/>
      <c r="AQ116" s="43"/>
      <c r="AR116" s="43"/>
      <c r="AS116" s="43"/>
      <c r="AT116" s="43"/>
      <c r="AU116" s="43"/>
    </row>
    <row r="117" spans="2:47" s="2" customFormat="1" ht="9" customHeight="1">
      <c r="B117" s="2"/>
      <c r="C117" s="42"/>
      <c r="D117" s="42"/>
      <c r="E117" s="80"/>
      <c r="F117" s="80"/>
      <c r="G117" s="80"/>
      <c r="H117" s="80"/>
      <c r="I117" s="80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43"/>
      <c r="AO117" s="43"/>
      <c r="AP117" s="43"/>
      <c r="AQ117" s="43"/>
      <c r="AR117" s="43"/>
      <c r="AS117" s="43"/>
      <c r="AT117" s="43"/>
      <c r="AU117" s="43"/>
    </row>
    <row r="118" spans="2:47" s="2" customFormat="1" ht="9" customHeight="1">
      <c r="B118" s="2"/>
      <c r="C118" s="42"/>
      <c r="D118" s="42"/>
      <c r="E118" s="80"/>
      <c r="F118" s="80"/>
      <c r="G118" s="80"/>
      <c r="H118" s="80"/>
      <c r="I118" s="80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43"/>
      <c r="AO118" s="43"/>
      <c r="AP118" s="43"/>
      <c r="AQ118" s="43"/>
      <c r="AR118" s="43"/>
      <c r="AS118" s="43"/>
      <c r="AT118" s="43"/>
      <c r="AU118" s="43"/>
    </row>
    <row r="119" spans="2:47" s="2" customFormat="1" ht="9" customHeight="1">
      <c r="B119" s="2"/>
      <c r="C119" s="42"/>
      <c r="D119" s="42"/>
      <c r="E119" s="80"/>
      <c r="F119" s="80"/>
      <c r="G119" s="80"/>
      <c r="H119" s="80"/>
      <c r="I119" s="80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43"/>
      <c r="AO119" s="43"/>
      <c r="AP119" s="43"/>
      <c r="AQ119" s="43"/>
      <c r="AR119" s="43"/>
      <c r="AS119" s="43"/>
      <c r="AT119" s="43"/>
      <c r="AU119" s="43"/>
    </row>
    <row r="120" spans="2:47" s="2" customFormat="1" ht="9" customHeight="1">
      <c r="B120" s="2"/>
      <c r="C120" s="42"/>
      <c r="D120" s="42"/>
      <c r="E120" s="80"/>
      <c r="F120" s="80"/>
      <c r="G120" s="80"/>
      <c r="H120" s="80"/>
      <c r="I120" s="80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43"/>
      <c r="AO120" s="43"/>
      <c r="AP120" s="43"/>
      <c r="AQ120" s="43"/>
      <c r="AR120" s="43"/>
      <c r="AS120" s="43"/>
      <c r="AT120" s="43"/>
      <c r="AU120" s="43"/>
    </row>
    <row r="121" spans="2:47" s="2" customFormat="1" ht="9" customHeight="1">
      <c r="B121" s="2"/>
      <c r="C121" s="42"/>
      <c r="D121" s="42"/>
      <c r="E121" s="80"/>
      <c r="F121" s="80"/>
      <c r="G121" s="80"/>
      <c r="H121" s="80"/>
      <c r="I121" s="80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</row>
    <row r="122" spans="2:47" s="2" customFormat="1" ht="23.2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s="2" customForma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s="2" customForma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s="2" customForma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s="2" customForma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s="2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s="2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49:49" s="2" customFormat="1">
      <c r="AW129" s="2"/>
    </row>
    <row r="130" spans="49:49" s="2" customFormat="1">
      <c r="AW130" s="2"/>
    </row>
    <row r="131" spans="49:49" s="2" customFormat="1">
      <c r="AW131" s="2"/>
    </row>
    <row r="132" spans="49:49" s="2" customFormat="1">
      <c r="AW132" s="2"/>
    </row>
    <row r="133" spans="49:49" s="2" customFormat="1">
      <c r="AW133" s="2"/>
    </row>
    <row r="134" spans="49:49" s="2" customFormat="1">
      <c r="AW134" s="2"/>
    </row>
    <row r="135" spans="49:49" s="2" customFormat="1">
      <c r="AW135" s="2"/>
    </row>
    <row r="136" spans="49:49" s="2" customFormat="1">
      <c r="AW136" s="2"/>
    </row>
    <row r="137" spans="49:49" s="2" customFormat="1">
      <c r="AW137" s="2"/>
    </row>
    <row r="138" spans="49:49" s="2" customFormat="1">
      <c r="AW138" s="2"/>
    </row>
    <row r="139" spans="49:49" s="2" customFormat="1">
      <c r="AW139" s="2"/>
    </row>
    <row r="140" spans="49:49" s="2" customFormat="1">
      <c r="AW140" s="2"/>
    </row>
    <row r="141" spans="49:49" s="2" customFormat="1">
      <c r="AW141" s="2"/>
    </row>
    <row r="142" spans="49:49">
      <c r="AW142" s="2"/>
    </row>
  </sheetData>
  <sheetProtection password="E8D3" sheet="1" selectLockedCells="1"/>
  <mergeCells count="206">
    <mergeCell ref="A1:AV1"/>
    <mergeCell ref="F2:W2"/>
    <mergeCell ref="X2:Z2"/>
    <mergeCell ref="G3:V3"/>
    <mergeCell ref="C4:E4"/>
    <mergeCell ref="F4:H4"/>
    <mergeCell ref="I4:X4"/>
    <mergeCell ref="Z4:AF4"/>
    <mergeCell ref="AG4:AU4"/>
    <mergeCell ref="C5:E5"/>
    <mergeCell ref="F5:G5"/>
    <mergeCell ref="Z5:AF5"/>
    <mergeCell ref="C6:E6"/>
    <mergeCell ref="F6:G6"/>
    <mergeCell ref="Z6:AF6"/>
    <mergeCell ref="C7:E7"/>
    <mergeCell ref="F7:G7"/>
    <mergeCell ref="Z7:AF7"/>
    <mergeCell ref="C8:E8"/>
    <mergeCell ref="F8:G8"/>
    <mergeCell ref="C9:E9"/>
    <mergeCell ref="F9:G9"/>
    <mergeCell ref="C10:K10"/>
    <mergeCell ref="L10:T10"/>
    <mergeCell ref="U10:AB10"/>
    <mergeCell ref="AC10:AL10"/>
    <mergeCell ref="AM10:AU10"/>
    <mergeCell ref="AY10:AZ10"/>
    <mergeCell ref="AM11:AU11"/>
    <mergeCell ref="AY11:AZ11"/>
    <mergeCell ref="C14:H14"/>
    <mergeCell ref="G16:H16"/>
    <mergeCell ref="Q16:T16"/>
    <mergeCell ref="U16:Z16"/>
    <mergeCell ref="AA16:AF16"/>
    <mergeCell ref="AJ16:AO16"/>
    <mergeCell ref="AP16:AR16"/>
    <mergeCell ref="C17:D17"/>
    <mergeCell ref="E17:F17"/>
    <mergeCell ref="S17:T17"/>
    <mergeCell ref="U17:V17"/>
    <mergeCell ref="W17:X17"/>
    <mergeCell ref="Y17:Z17"/>
    <mergeCell ref="AA17:AB17"/>
    <mergeCell ref="AC17:AD17"/>
    <mergeCell ref="AE17:AF17"/>
    <mergeCell ref="AJ17:AL17"/>
    <mergeCell ref="AM17:AO17"/>
    <mergeCell ref="AY19:AZ19"/>
    <mergeCell ref="C20:K20"/>
    <mergeCell ref="L20:T20"/>
    <mergeCell ref="U20:AC20"/>
    <mergeCell ref="AD20:AL20"/>
    <mergeCell ref="AM20:AU20"/>
    <mergeCell ref="L21:M21"/>
    <mergeCell ref="N21:T21"/>
    <mergeCell ref="L22:T22"/>
    <mergeCell ref="C23:K23"/>
    <mergeCell ref="L23:T23"/>
    <mergeCell ref="L40:O40"/>
    <mergeCell ref="X40:AG40"/>
    <mergeCell ref="AH40:AU40"/>
    <mergeCell ref="C43:D43"/>
    <mergeCell ref="E43:F43"/>
    <mergeCell ref="G43:H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C44:D44"/>
    <mergeCell ref="E44:I44"/>
    <mergeCell ref="C45:D45"/>
    <mergeCell ref="E45:I45"/>
    <mergeCell ref="E46:I46"/>
    <mergeCell ref="E47:I47"/>
    <mergeCell ref="C48:D48"/>
    <mergeCell ref="E48:I48"/>
    <mergeCell ref="C49:D49"/>
    <mergeCell ref="E49:I49"/>
    <mergeCell ref="A50:AU50"/>
    <mergeCell ref="C2:E3"/>
    <mergeCell ref="AA2:AJ3"/>
    <mergeCell ref="AK2:AU3"/>
    <mergeCell ref="H5:X9"/>
    <mergeCell ref="AG5:AM6"/>
    <mergeCell ref="AN5:AU6"/>
    <mergeCell ref="AG7:AM9"/>
    <mergeCell ref="AN7:AU9"/>
    <mergeCell ref="Z8:AF9"/>
    <mergeCell ref="AW10:AX11"/>
    <mergeCell ref="C11:K13"/>
    <mergeCell ref="L11:T13"/>
    <mergeCell ref="U11:AB13"/>
    <mergeCell ref="AC11:AL13"/>
    <mergeCell ref="AM12:AU13"/>
    <mergeCell ref="J14:O16"/>
    <mergeCell ref="S14:AD15"/>
    <mergeCell ref="AG14:AI16"/>
    <mergeCell ref="AJ14:AR15"/>
    <mergeCell ref="AS14:AU16"/>
    <mergeCell ref="C15:F16"/>
    <mergeCell ref="G17:H19"/>
    <mergeCell ref="I17:P19"/>
    <mergeCell ref="Q17:R19"/>
    <mergeCell ref="AG17:AI19"/>
    <mergeCell ref="AP17:AR19"/>
    <mergeCell ref="AS17:AU19"/>
    <mergeCell ref="AZ17:AZ18"/>
    <mergeCell ref="C18:D19"/>
    <mergeCell ref="E18:F19"/>
    <mergeCell ref="S18:T19"/>
    <mergeCell ref="U18:V19"/>
    <mergeCell ref="W18:X19"/>
    <mergeCell ref="Y18:Z19"/>
    <mergeCell ref="AA18:AB19"/>
    <mergeCell ref="AC18:AD19"/>
    <mergeCell ref="AE18:AF19"/>
    <mergeCell ref="AJ18:AL19"/>
    <mergeCell ref="AM18:AO19"/>
    <mergeCell ref="C21:K22"/>
    <mergeCell ref="U21:AC22"/>
    <mergeCell ref="AD21:AL22"/>
    <mergeCell ref="AM21:AU22"/>
    <mergeCell ref="C24:AU26"/>
    <mergeCell ref="C27:E28"/>
    <mergeCell ref="F27:I28"/>
    <mergeCell ref="J27:M28"/>
    <mergeCell ref="N27:Q28"/>
    <mergeCell ref="R27:U28"/>
    <mergeCell ref="V27:Y28"/>
    <mergeCell ref="Z27:AC28"/>
    <mergeCell ref="AD27:AG28"/>
    <mergeCell ref="AH27:AL28"/>
    <mergeCell ref="AM27:AQ28"/>
    <mergeCell ref="AR27:AU28"/>
    <mergeCell ref="C29:E32"/>
    <mergeCell ref="F29:I30"/>
    <mergeCell ref="J29:M30"/>
    <mergeCell ref="N29:Q30"/>
    <mergeCell ref="R29:Y30"/>
    <mergeCell ref="Z29:AC30"/>
    <mergeCell ref="AD29:AG30"/>
    <mergeCell ref="AH29:AL30"/>
    <mergeCell ref="AM29:AU30"/>
    <mergeCell ref="F31:I32"/>
    <mergeCell ref="J31:M32"/>
    <mergeCell ref="N31:Q32"/>
    <mergeCell ref="R31:Y32"/>
    <mergeCell ref="Z31:AC32"/>
    <mergeCell ref="AD31:AG32"/>
    <mergeCell ref="AH31:AL32"/>
    <mergeCell ref="AM31:AU32"/>
    <mergeCell ref="V33:Y35"/>
    <mergeCell ref="Z33:AC35"/>
    <mergeCell ref="AD33:AG35"/>
    <mergeCell ref="AH33:AL35"/>
    <mergeCell ref="AM33:AQ35"/>
    <mergeCell ref="AR33:AU35"/>
    <mergeCell ref="AD36:AG37"/>
    <mergeCell ref="AH36:AL37"/>
    <mergeCell ref="AM36:AQ37"/>
    <mergeCell ref="AR36:AU37"/>
    <mergeCell ref="C40:D42"/>
    <mergeCell ref="E40:F42"/>
    <mergeCell ref="G40:H42"/>
    <mergeCell ref="I40:I42"/>
    <mergeCell ref="J40:K42"/>
    <mergeCell ref="P40:Q42"/>
    <mergeCell ref="R40:S42"/>
    <mergeCell ref="T40:U42"/>
    <mergeCell ref="V40:W42"/>
    <mergeCell ref="L41:M42"/>
    <mergeCell ref="N41:N42"/>
    <mergeCell ref="O41:O42"/>
    <mergeCell ref="X41:Y42"/>
    <mergeCell ref="Z41:AA42"/>
    <mergeCell ref="AB41:AC42"/>
    <mergeCell ref="AD41:AE42"/>
    <mergeCell ref="AF41:AG42"/>
    <mergeCell ref="AH41:AI42"/>
    <mergeCell ref="AJ41:AK42"/>
    <mergeCell ref="AL41:AM42"/>
    <mergeCell ref="AN41:AO42"/>
    <mergeCell ref="AP41:AQ42"/>
    <mergeCell ref="AR41:AS42"/>
    <mergeCell ref="AT41:AU42"/>
    <mergeCell ref="J44:AU46"/>
    <mergeCell ref="C46:D47"/>
    <mergeCell ref="AD48:AF49"/>
    <mergeCell ref="B11:B24"/>
    <mergeCell ref="B43:B49"/>
  </mergeCells>
  <phoneticPr fontId="19"/>
  <conditionalFormatting sqref="C23:T23">
    <cfRule type="expression" dxfId="1" priority="1">
      <formula>$C$21&gt;0</formula>
    </cfRule>
  </conditionalFormatting>
  <conditionalFormatting sqref="C23:K23">
    <cfRule type="expression" dxfId="0" priority="2">
      <formula>AND($C$21&gt;0,$L$23&gt;0)</formula>
    </cfRule>
  </conditionalFormatting>
  <dataValidations count="1">
    <dataValidation type="list" allowBlank="1" showDropDown="0" showInputMessage="1" showErrorMessage="1" sqref="V43:W43 C43:D43 L43:S43 C18:D19 G17:H19">
      <formula1>"〇"</formula1>
    </dataValidation>
  </dataValidations>
  <pageMargins left="0.75" right="0.56000000000000005" top="1" bottom="1" header="0.51200000000000001" footer="0.51200000000000001"/>
  <pageSetup paperSize="9" fitToWidth="1" fitToHeight="1" orientation="portrait" usePrinterDefaults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62"/>
  <sheetViews>
    <sheetView workbookViewId="0">
      <selection activeCell="C20" sqref="C20"/>
    </sheetView>
  </sheetViews>
  <sheetFormatPr defaultRowHeight="15" customHeight="1"/>
  <cols>
    <col min="1" max="1" width="4.875" style="455" bestFit="1" customWidth="1"/>
    <col min="2" max="2" width="15.125" style="456" bestFit="1" customWidth="1"/>
    <col min="3" max="3" width="12.125" style="455" customWidth="1"/>
    <col min="4" max="4" width="12.75" style="455" customWidth="1"/>
    <col min="5" max="7" width="13.75" style="455" customWidth="1"/>
    <col min="8" max="8" width="14.5" style="455" customWidth="1"/>
    <col min="9" max="10" width="10.375" style="455" bestFit="1" customWidth="1"/>
    <col min="11" max="11" width="13.5" style="455" customWidth="1"/>
    <col min="12" max="12" width="11.625" style="455" bestFit="1" customWidth="1"/>
    <col min="13" max="13" width="9.5" style="457" bestFit="1" customWidth="1"/>
    <col min="14" max="14" width="9.75" style="455" bestFit="1" customWidth="1"/>
    <col min="15" max="15" width="9.25" style="455" bestFit="1" customWidth="1"/>
    <col min="16" max="17" width="4.5" style="455" bestFit="1" customWidth="1"/>
    <col min="18" max="19" width="8.375" style="455" bestFit="1" customWidth="1"/>
    <col min="20" max="20" width="4.375" style="455" bestFit="1" customWidth="1"/>
    <col min="21" max="21" width="4.5" style="455" bestFit="1" customWidth="1"/>
    <col min="22" max="22" width="6" style="455" customWidth="1"/>
    <col min="23" max="23" width="6.125" style="455" customWidth="1"/>
    <col min="24" max="24" width="6" style="455" customWidth="1"/>
    <col min="25" max="25" width="9" style="455" bestFit="1" customWidth="1"/>
    <col min="26" max="16384" width="9" style="455" customWidth="1"/>
  </cols>
  <sheetData>
    <row r="1" spans="1:24" ht="15" customHeight="1">
      <c r="A1" s="458">
        <v>7</v>
      </c>
      <c r="B1" s="473" t="s">
        <v>129</v>
      </c>
      <c r="C1" s="493"/>
      <c r="E1" s="530" t="s">
        <v>130</v>
      </c>
    </row>
    <row r="2" spans="1:24" ht="21" customHeight="1">
      <c r="A2" s="459"/>
      <c r="B2" s="195" t="s">
        <v>131</v>
      </c>
      <c r="C2" s="494"/>
      <c r="E2" s="531">
        <f>K16+L16+C1</f>
        <v>0</v>
      </c>
    </row>
    <row r="3" spans="1:24" ht="10.5" customHeight="1">
      <c r="A3" s="460" t="s">
        <v>132</v>
      </c>
      <c r="B3" s="474"/>
      <c r="C3" s="495">
        <f>'2給報'!L11</f>
        <v>0</v>
      </c>
      <c r="D3" s="514" t="s">
        <v>134</v>
      </c>
      <c r="E3" s="532" t="s">
        <v>135</v>
      </c>
      <c r="F3" s="545" t="s">
        <v>136</v>
      </c>
      <c r="G3" s="545" t="s">
        <v>72</v>
      </c>
      <c r="I3" s="571" t="s">
        <v>137</v>
      </c>
      <c r="J3" s="588"/>
      <c r="K3" s="599" t="s">
        <v>92</v>
      </c>
      <c r="L3" s="612" t="s">
        <v>138</v>
      </c>
      <c r="M3" s="455"/>
      <c r="N3" s="629" t="s">
        <v>139</v>
      </c>
      <c r="O3" s="635"/>
      <c r="P3" s="635"/>
      <c r="Q3" s="635"/>
      <c r="R3" s="642" t="s">
        <v>140</v>
      </c>
      <c r="S3" s="647"/>
      <c r="T3" s="647"/>
      <c r="U3" s="647"/>
      <c r="V3" s="652"/>
      <c r="W3" s="652"/>
      <c r="X3" s="655"/>
    </row>
    <row r="4" spans="1:24" ht="10.5" customHeight="1">
      <c r="A4" s="461"/>
      <c r="B4" s="475"/>
      <c r="C4" s="496">
        <v>0</v>
      </c>
      <c r="D4" s="515">
        <f>+C3</f>
        <v>0</v>
      </c>
      <c r="E4" s="533">
        <f>K16+L16-N20</f>
        <v>0</v>
      </c>
      <c r="F4" s="546">
        <f>SUM(D7:D22)+(SUM(D25:D31))+C32</f>
        <v>950000</v>
      </c>
      <c r="G4" s="546">
        <f>+G34</f>
        <v>0</v>
      </c>
      <c r="I4" s="572">
        <v>0</v>
      </c>
      <c r="J4" s="589">
        <v>650999</v>
      </c>
      <c r="K4" s="600">
        <v>0</v>
      </c>
      <c r="L4" s="613">
        <v>0</v>
      </c>
      <c r="M4" s="455"/>
      <c r="N4" s="630" t="s">
        <v>141</v>
      </c>
      <c r="O4" s="636"/>
      <c r="P4" s="639" t="s">
        <v>34</v>
      </c>
      <c r="Q4" s="639" t="s">
        <v>0</v>
      </c>
      <c r="R4" s="643" t="s">
        <v>142</v>
      </c>
      <c r="S4" s="648"/>
      <c r="T4" s="648" t="s">
        <v>34</v>
      </c>
      <c r="U4" s="648" t="s">
        <v>133</v>
      </c>
      <c r="V4" s="648" t="s">
        <v>143</v>
      </c>
      <c r="W4" s="648" t="s">
        <v>144</v>
      </c>
      <c r="X4" s="656" t="s">
        <v>128</v>
      </c>
    </row>
    <row r="5" spans="1:24" ht="10.5" customHeight="1">
      <c r="A5" s="461"/>
      <c r="B5" s="475"/>
      <c r="C5" s="497"/>
      <c r="D5" s="516"/>
      <c r="E5" s="534"/>
      <c r="F5" s="547"/>
      <c r="G5" s="547"/>
      <c r="I5" s="572">
        <v>651000</v>
      </c>
      <c r="J5" s="589">
        <v>1899999</v>
      </c>
      <c r="K5" s="600" t="s">
        <v>206</v>
      </c>
      <c r="L5" s="613">
        <f>D4-650000</f>
        <v>-650000</v>
      </c>
      <c r="M5" s="455"/>
      <c r="N5" s="572">
        <v>0</v>
      </c>
      <c r="O5" s="609">
        <v>9000000</v>
      </c>
      <c r="P5" s="640">
        <v>38</v>
      </c>
      <c r="Q5" s="640">
        <v>48</v>
      </c>
      <c r="R5" s="644">
        <v>480001</v>
      </c>
      <c r="S5" s="601">
        <v>950000</v>
      </c>
      <c r="T5" s="650">
        <v>0</v>
      </c>
      <c r="U5" s="650">
        <v>38</v>
      </c>
      <c r="V5" s="653">
        <v>26</v>
      </c>
      <c r="W5" s="653">
        <v>13</v>
      </c>
      <c r="X5" s="657">
        <v>0</v>
      </c>
    </row>
    <row r="6" spans="1:24" ht="10.5" customHeight="1">
      <c r="A6" s="462"/>
      <c r="B6" s="476"/>
      <c r="C6" s="498"/>
      <c r="D6" s="517"/>
      <c r="E6" s="535"/>
      <c r="F6" s="545" t="s">
        <v>145</v>
      </c>
      <c r="G6" s="545" t="s">
        <v>147</v>
      </c>
      <c r="I6" s="572"/>
      <c r="J6" s="589"/>
      <c r="K6" s="601"/>
      <c r="L6" s="613"/>
      <c r="M6" s="455"/>
      <c r="N6" s="572">
        <v>9000001</v>
      </c>
      <c r="O6" s="609">
        <v>9500000</v>
      </c>
      <c r="P6" s="640">
        <v>26</v>
      </c>
      <c r="Q6" s="640">
        <v>32</v>
      </c>
      <c r="R6" s="644">
        <v>950001</v>
      </c>
      <c r="S6" s="601">
        <v>1000000</v>
      </c>
      <c r="T6" s="650">
        <v>0</v>
      </c>
      <c r="U6" s="650">
        <v>36</v>
      </c>
      <c r="V6" s="653">
        <v>24</v>
      </c>
      <c r="W6" s="653">
        <v>12</v>
      </c>
      <c r="X6" s="657">
        <v>0</v>
      </c>
    </row>
    <row r="7" spans="1:24" ht="11.25" customHeight="1">
      <c r="A7" s="463" t="s">
        <v>101</v>
      </c>
      <c r="B7" s="477" t="s">
        <v>116</v>
      </c>
      <c r="C7" s="499">
        <f>IF(AND('2給報'!C18="〇",'2給報'!G17&lt;&gt;"〇"),1,0)</f>
        <v>0</v>
      </c>
      <c r="D7" s="518">
        <f>O15*10000*C7</f>
        <v>0</v>
      </c>
      <c r="E7" s="536"/>
      <c r="F7" s="548">
        <f>ROUNDDOWN(E4-F4,-3)</f>
        <v>-950000</v>
      </c>
      <c r="G7" s="561">
        <f>ROUNDDOWN(G4*2.1%,0)</f>
        <v>0</v>
      </c>
      <c r="I7" s="572"/>
      <c r="J7" s="589"/>
      <c r="K7" s="601"/>
      <c r="L7" s="613"/>
      <c r="M7" s="455"/>
      <c r="N7" s="572">
        <v>9500001</v>
      </c>
      <c r="O7" s="609">
        <v>10000000</v>
      </c>
      <c r="P7" s="640">
        <v>13</v>
      </c>
      <c r="Q7" s="640">
        <v>16</v>
      </c>
      <c r="R7" s="644">
        <v>1010000</v>
      </c>
      <c r="S7" s="601">
        <v>1050000</v>
      </c>
      <c r="T7" s="650">
        <v>0</v>
      </c>
      <c r="U7" s="650">
        <v>31</v>
      </c>
      <c r="V7" s="653">
        <v>21</v>
      </c>
      <c r="W7" s="653">
        <v>11</v>
      </c>
      <c r="X7" s="657">
        <v>0</v>
      </c>
    </row>
    <row r="8" spans="1:24" ht="11.25" customHeight="1">
      <c r="A8" s="465"/>
      <c r="B8" s="478" t="s">
        <v>148</v>
      </c>
      <c r="C8" s="500">
        <f>IF('2給報'!G17="〇",1,0)</f>
        <v>0</v>
      </c>
      <c r="D8" s="519">
        <f>Q15*10000*C8</f>
        <v>0</v>
      </c>
      <c r="E8" s="537"/>
      <c r="F8" s="549"/>
      <c r="G8" s="562"/>
      <c r="I8" s="572"/>
      <c r="J8" s="589"/>
      <c r="K8" s="601"/>
      <c r="L8" s="613"/>
      <c r="M8" s="455"/>
      <c r="N8" s="572">
        <v>10000001</v>
      </c>
      <c r="O8" s="609"/>
      <c r="P8" s="640">
        <v>0</v>
      </c>
      <c r="Q8" s="640">
        <v>0</v>
      </c>
      <c r="R8" s="644">
        <v>1050001</v>
      </c>
      <c r="S8" s="601">
        <v>1100000</v>
      </c>
      <c r="T8" s="650">
        <v>0</v>
      </c>
      <c r="U8" s="650">
        <v>26</v>
      </c>
      <c r="V8" s="653">
        <v>18</v>
      </c>
      <c r="W8" s="653">
        <v>9</v>
      </c>
      <c r="X8" s="657">
        <v>0</v>
      </c>
    </row>
    <row r="9" spans="1:24" s="305" customFormat="1" ht="11.25" customHeight="1">
      <c r="A9" s="464"/>
      <c r="B9" s="479" t="s">
        <v>150</v>
      </c>
      <c r="C9" s="501">
        <f>'2給報'!I17</f>
        <v>0</v>
      </c>
      <c r="D9" s="520">
        <f>IF(AND(E4&lt;=9000000),S17,IF(AND(9000000&lt;=E4,E4&lt;=9500000),V17,IF(AND(9500000&lt;=E4,E4&lt;=10000000),W17,IF(AND(10000000&lt;=E4),X17))))*10000</f>
        <v>0</v>
      </c>
      <c r="E9" s="538"/>
      <c r="F9" s="550" t="s">
        <v>151</v>
      </c>
      <c r="G9" s="563">
        <f>ROUNDDOWN(G4+G7,-2)</f>
        <v>0</v>
      </c>
      <c r="H9" s="305"/>
      <c r="I9" s="572"/>
      <c r="J9" s="589"/>
      <c r="K9" s="601"/>
      <c r="L9" s="613"/>
      <c r="M9" s="305"/>
      <c r="N9" s="572"/>
      <c r="O9" s="609"/>
      <c r="P9" s="640"/>
      <c r="Q9" s="640"/>
      <c r="R9" s="644">
        <v>1100001</v>
      </c>
      <c r="S9" s="601">
        <v>1150000</v>
      </c>
      <c r="T9" s="650">
        <v>0</v>
      </c>
      <c r="U9" s="650">
        <v>21</v>
      </c>
      <c r="V9" s="653">
        <v>14</v>
      </c>
      <c r="W9" s="653">
        <v>7</v>
      </c>
      <c r="X9" s="658">
        <v>0</v>
      </c>
    </row>
    <row r="10" spans="1:24" ht="11.25" customHeight="1">
      <c r="A10" s="465"/>
      <c r="B10" s="480" t="s">
        <v>80</v>
      </c>
      <c r="C10" s="502">
        <f>'2給報'!Q17</f>
        <v>0</v>
      </c>
      <c r="D10" s="520">
        <f>C10*630000</f>
        <v>0</v>
      </c>
      <c r="F10" s="551"/>
      <c r="G10" s="564"/>
      <c r="H10" s="543"/>
      <c r="I10" s="572"/>
      <c r="J10" s="589"/>
      <c r="K10" s="600"/>
      <c r="L10" s="613"/>
      <c r="M10" s="455"/>
      <c r="N10" s="572"/>
      <c r="O10" s="609"/>
      <c r="P10" s="640"/>
      <c r="Q10" s="640"/>
      <c r="R10" s="644">
        <v>1150001</v>
      </c>
      <c r="S10" s="601">
        <v>1200000</v>
      </c>
      <c r="T10" s="650">
        <v>0</v>
      </c>
      <c r="U10" s="650">
        <v>16</v>
      </c>
      <c r="V10" s="653">
        <v>11</v>
      </c>
      <c r="W10" s="653">
        <v>6</v>
      </c>
      <c r="X10" s="657">
        <v>0</v>
      </c>
    </row>
    <row r="11" spans="1:24" ht="11.25" customHeight="1">
      <c r="A11" s="465"/>
      <c r="B11" s="481" t="s">
        <v>58</v>
      </c>
      <c r="C11" s="503">
        <f>'2給報'!C21</f>
        <v>0</v>
      </c>
      <c r="D11" s="520">
        <f>C11</f>
        <v>0</v>
      </c>
      <c r="F11" s="553"/>
      <c r="G11" s="566"/>
      <c r="H11" s="455"/>
      <c r="I11" s="572">
        <v>1900000</v>
      </c>
      <c r="J11" s="589">
        <v>3599999</v>
      </c>
      <c r="K11" s="600" t="s">
        <v>155</v>
      </c>
      <c r="L11" s="613">
        <f>ROUNDDOWN(D4/4,-3)*2.8-80000</f>
        <v>-80000</v>
      </c>
      <c r="M11" s="455"/>
      <c r="N11" s="572"/>
      <c r="O11" s="609"/>
      <c r="P11" s="640"/>
      <c r="Q11" s="640"/>
      <c r="R11" s="644">
        <v>1200001</v>
      </c>
      <c r="S11" s="601">
        <v>1250000</v>
      </c>
      <c r="T11" s="650">
        <v>0</v>
      </c>
      <c r="U11" s="650">
        <v>11</v>
      </c>
      <c r="V11" s="653">
        <v>8</v>
      </c>
      <c r="W11" s="653">
        <v>4</v>
      </c>
      <c r="X11" s="657">
        <v>0</v>
      </c>
    </row>
    <row r="12" spans="1:24" ht="11.25" customHeight="1">
      <c r="A12" s="465"/>
      <c r="B12" s="482" t="s">
        <v>153</v>
      </c>
      <c r="C12" s="504">
        <f>'2給報'!U18</f>
        <v>0</v>
      </c>
      <c r="D12" s="520">
        <f>C12*100000</f>
        <v>0</v>
      </c>
      <c r="F12" s="543"/>
      <c r="H12" s="543"/>
      <c r="I12" s="572">
        <v>3600000</v>
      </c>
      <c r="J12" s="589">
        <v>6599999</v>
      </c>
      <c r="K12" s="600" t="s">
        <v>21</v>
      </c>
      <c r="L12" s="613">
        <f>ROUNDDOWN(D4/4,-3)*3.2-440000</f>
        <v>-440000</v>
      </c>
      <c r="M12" s="455"/>
      <c r="N12" s="572"/>
      <c r="O12" s="609"/>
      <c r="P12" s="640"/>
      <c r="Q12" s="640"/>
      <c r="R12" s="644">
        <v>1250001</v>
      </c>
      <c r="S12" s="601">
        <v>1300000</v>
      </c>
      <c r="T12" s="650">
        <v>0</v>
      </c>
      <c r="U12" s="650">
        <v>6</v>
      </c>
      <c r="V12" s="653">
        <v>4</v>
      </c>
      <c r="W12" s="653">
        <v>2</v>
      </c>
      <c r="X12" s="657">
        <v>0</v>
      </c>
    </row>
    <row r="13" spans="1:24" ht="11.25" customHeight="1">
      <c r="A13" s="465"/>
      <c r="B13" s="483" t="s">
        <v>156</v>
      </c>
      <c r="C13" s="505">
        <f>'2給報'!W18</f>
        <v>0</v>
      </c>
      <c r="D13" s="520">
        <f>C13*480000</f>
        <v>0</v>
      </c>
      <c r="H13" s="543"/>
      <c r="I13" s="572">
        <v>6600000</v>
      </c>
      <c r="J13" s="589">
        <v>8500000</v>
      </c>
      <c r="K13" s="600" t="s">
        <v>157</v>
      </c>
      <c r="L13" s="613">
        <f>ROUNDDOWN(D4*0.9-1100000,0)</f>
        <v>-1100000</v>
      </c>
      <c r="M13" s="455"/>
      <c r="N13" s="572"/>
      <c r="O13" s="609"/>
      <c r="P13" s="640"/>
      <c r="Q13" s="640"/>
      <c r="R13" s="644">
        <v>1300001</v>
      </c>
      <c r="S13" s="601">
        <v>1330000</v>
      </c>
      <c r="T13" s="650">
        <v>0</v>
      </c>
      <c r="U13" s="650">
        <v>3</v>
      </c>
      <c r="V13" s="653">
        <v>2</v>
      </c>
      <c r="W13" s="653">
        <v>1</v>
      </c>
      <c r="X13" s="657">
        <v>0</v>
      </c>
    </row>
    <row r="14" spans="1:24" ht="11.25" customHeight="1">
      <c r="A14" s="465"/>
      <c r="B14" s="484" t="s">
        <v>109</v>
      </c>
      <c r="C14" s="506">
        <f>'2給報'!AA18</f>
        <v>0</v>
      </c>
      <c r="D14" s="521">
        <f>C14*380000</f>
        <v>0</v>
      </c>
      <c r="E14" s="539"/>
      <c r="F14" s="543"/>
      <c r="G14" s="543"/>
      <c r="H14" s="568"/>
      <c r="I14" s="573">
        <v>8500001</v>
      </c>
      <c r="J14" s="590">
        <v>99999999</v>
      </c>
      <c r="K14" s="602" t="s">
        <v>160</v>
      </c>
      <c r="L14" s="614">
        <f>ROUNDDOWN(D4-1950000,0)</f>
        <v>-1950000</v>
      </c>
      <c r="M14" s="455"/>
      <c r="N14" s="631"/>
      <c r="O14" s="637"/>
      <c r="P14" s="641"/>
      <c r="Q14" s="641"/>
      <c r="R14" s="645">
        <v>1330001</v>
      </c>
      <c r="S14" s="649"/>
      <c r="T14" s="651"/>
      <c r="U14" s="651">
        <v>0</v>
      </c>
      <c r="V14" s="654">
        <v>0</v>
      </c>
      <c r="W14" s="654">
        <v>0</v>
      </c>
      <c r="X14" s="659">
        <v>0</v>
      </c>
    </row>
    <row r="15" spans="1:24" ht="11.25" customHeight="1">
      <c r="A15" s="465"/>
      <c r="B15" s="482" t="s">
        <v>158</v>
      </c>
      <c r="C15" s="507">
        <f>'2給報'!AC18</f>
        <v>0</v>
      </c>
      <c r="D15" s="522">
        <f>C15*380000</f>
        <v>0</v>
      </c>
      <c r="E15" s="540" t="s">
        <v>142</v>
      </c>
      <c r="F15" s="554"/>
      <c r="G15" s="543"/>
      <c r="H15" s="568"/>
      <c r="I15" s="574"/>
      <c r="J15" s="591"/>
      <c r="K15" s="602"/>
      <c r="L15" s="615"/>
      <c r="M15" s="455"/>
      <c r="O15" s="638">
        <f>IF(AND(N5&lt;=E4,E4&lt;=O5),P5,IF(AND(N6&lt;=E4,E4&lt;=O6),P6,IF(AND(N7&lt;=E4,E4&lt;=O7),P7,IF(AND(N8&lt;=E4,E4&lt;=O8),P8))))</f>
        <v>38</v>
      </c>
      <c r="Q15" s="638">
        <f>IF(AND(N5&lt;=E4,E4&lt;=O5),Q5,IF(AND(N6&lt;=E4,E4&lt;=O6),Q6,IF(AND(N7&lt;=E4,E4&lt;=O7),Q7,IF(AND(N8&lt;=E4,E4&lt;=O8),Q8))))</f>
        <v>48</v>
      </c>
      <c r="R15" s="646"/>
      <c r="S15" s="638" t="b">
        <f>IF(AND(R5&lt;=E16,E16&lt;=S5),U5,IF(AND(R6&lt;=E16,E16&lt;=S6),U6,IF(AND(R7&lt;=E16,E16&lt;=S7),U7,IF(AND(R8&lt;=E16,E16&lt;=S8),U8,IF(AND(R9&lt;=E16,E16&lt;=S9),U9,IF(AND(R10&lt;=E16,E16&lt;=S10),U10,IF(AND(R11&lt;=E16,E16&lt;=S11),U11)))))))</f>
        <v>0</v>
      </c>
      <c r="V15" s="455" t="b">
        <f>IF(AND(R5&lt;=E16,E16&lt;=S5),V5,IF(AND(R6&lt;=E16,E16&lt;=S6),V6,IF(AND(R7&lt;=E16,E16&lt;=S7),V7,IF(AND(R8&lt;=E16,E16&lt;=S8),V8,IF(AND(R9&lt;=E16,E16&lt;=S9),V9,IF(AND(R10&lt;=E16,E16&lt;=S10),V10,IF(AND(R11&lt;=E16,E16&lt;=S11),V11)))))))</f>
        <v>0</v>
      </c>
      <c r="W15" s="455" t="b">
        <f>IF(AND(R5&lt;=E16,E16&lt;=S5),W5,IF(AND(R6&lt;=E16,E16&lt;=S6),W6,IF(AND(R7&lt;=E16,E16&lt;=S7),W7,IF(AND(R8&lt;=E16,E16&lt;=S8),W8,IF(AND(R9&lt;=E16,E16&lt;=S9),W9,IF(AND(R10&lt;=E16,E16&lt;=S10),W10,IF(AND(R11&lt;=E16,E16&lt;=S11),W11)))))))</f>
        <v>0</v>
      </c>
      <c r="X15" s="455" t="b">
        <f>IF(AND(R5&lt;=E16,E16&lt;=S5),X5,IF(AND(R6&lt;=E16,E16&lt;=S6),X6,IF(AND(R7&lt;=E16,E16&lt;=S7),X7,IF(AND(R8&lt;=E16,E16&lt;=S8),X8,IF(AND(R9&lt;=E16,E16&lt;=S9),X9,IF(AND(R10&lt;=E16,E16&lt;=S10),X10,IF(AND(R11&lt;=E16,E16&lt;=S11),X11)))))))</f>
        <v>0</v>
      </c>
    </row>
    <row r="16" spans="1:24" ht="11.25" customHeight="1">
      <c r="A16" s="465"/>
      <c r="B16" s="482" t="s">
        <v>153</v>
      </c>
      <c r="C16" s="507">
        <f>'2給報'!AJ18</f>
        <v>0</v>
      </c>
      <c r="D16" s="522">
        <f>C16*350000</f>
        <v>0</v>
      </c>
      <c r="E16" s="541">
        <f>'2給報'!Z33</f>
        <v>0</v>
      </c>
      <c r="F16" s="555">
        <f>S17*10000</f>
        <v>0</v>
      </c>
      <c r="G16" s="543"/>
      <c r="H16" s="569"/>
      <c r="K16" s="603">
        <f>IF(AND(D4&lt;=J4),L4,IF(AND(I5&lt;=D4,D4&lt;=J5),L5,0))</f>
        <v>0</v>
      </c>
      <c r="L16" s="567">
        <f>IF(AND(I11&lt;=D4,D4&lt;=J11),L11,IF(AND(I12&lt;=D4,D4&lt;=J12),L12,IF(AND(I13&lt;=D4,D4&lt;=J13),L13,IF(AND(I14&lt;=D4,D4&lt;=J14),L14,0))))</f>
        <v>0</v>
      </c>
      <c r="M16" s="455"/>
      <c r="O16" s="638"/>
      <c r="Q16" s="638"/>
      <c r="R16" s="646"/>
      <c r="S16" s="638" t="b">
        <f>IF(AND(R12&lt;=E16,E16&lt;=S12),U12,IF(AND(R13&lt;=E16,E16&lt;=S13),U13,IF(AND(R14&lt;=E16),U14)))</f>
        <v>0</v>
      </c>
      <c r="V16" s="455" t="b">
        <f>IF(AND(R12&lt;=E16,E16&lt;=S12),V12,IF(AND(R13&lt;=E16,E16&lt;=S13),V13,IF(AND(R14&lt;=E16),V14)))</f>
        <v>0</v>
      </c>
      <c r="W16" s="455" t="b">
        <f>IF(AND(R12&lt;=E16,E16&lt;=S12),W12,IF(AND(R13&lt;=E16,E16&lt;=S13),W13,IF(AND(R14&lt;=E16),W14)))</f>
        <v>0</v>
      </c>
      <c r="X16" s="455" t="b">
        <f>IF(AND(R12&lt;=E16,E16&lt;=S12),X12,IF(AND(R13&lt;=E16,E16&lt;=S13),X13,IF(AND(R14&lt;=E16),X14)))</f>
        <v>0</v>
      </c>
    </row>
    <row r="17" spans="1:24" ht="11.25" customHeight="1">
      <c r="A17" s="465"/>
      <c r="B17" s="485" t="s">
        <v>161</v>
      </c>
      <c r="C17" s="500">
        <f>'2給報'!AM18</f>
        <v>0</v>
      </c>
      <c r="D17" s="520">
        <f>C17*400000</f>
        <v>0</v>
      </c>
      <c r="E17" s="542" t="s">
        <v>162</v>
      </c>
      <c r="F17" s="556"/>
      <c r="G17" s="542" t="s">
        <v>163</v>
      </c>
      <c r="H17" s="556"/>
      <c r="I17" s="455" t="s">
        <v>165</v>
      </c>
      <c r="M17" s="455"/>
      <c r="O17" s="567"/>
      <c r="S17" s="567">
        <f>S15+S16</f>
        <v>0</v>
      </c>
      <c r="V17" s="567">
        <f>V15+V16</f>
        <v>0</v>
      </c>
      <c r="W17" s="567">
        <f>W15+W16</f>
        <v>0</v>
      </c>
      <c r="X17" s="567">
        <f>X15+X16</f>
        <v>0</v>
      </c>
    </row>
    <row r="18" spans="1:24" ht="11.25" customHeight="1">
      <c r="A18" s="465"/>
      <c r="B18" s="483" t="s">
        <v>164</v>
      </c>
      <c r="C18" s="508">
        <f>'2給報'!AP17</f>
        <v>0</v>
      </c>
      <c r="D18" s="520">
        <f>C18*270000</f>
        <v>0</v>
      </c>
      <c r="E18" s="541">
        <f>'2給報'!J27</f>
        <v>0</v>
      </c>
      <c r="F18" s="555">
        <f>ROUNDDOWN(O29,0)</f>
        <v>0</v>
      </c>
      <c r="G18" s="541">
        <f>'2給報'!R27</f>
        <v>0</v>
      </c>
      <c r="H18" s="555">
        <f>ROUNDDOWN(Q29,0)</f>
        <v>0</v>
      </c>
      <c r="I18" s="575">
        <v>1000</v>
      </c>
      <c r="J18" s="592">
        <v>1950000</v>
      </c>
      <c r="K18" s="604">
        <v>5.e-002</v>
      </c>
      <c r="L18" s="616">
        <f>F7*0.05</f>
        <v>-47500</v>
      </c>
      <c r="M18" s="455"/>
      <c r="N18" s="457" t="s">
        <v>146</v>
      </c>
      <c r="O18" s="567"/>
      <c r="S18" s="567"/>
    </row>
    <row r="19" spans="1:24" ht="11.25" customHeight="1">
      <c r="A19" s="465"/>
      <c r="B19" s="486" t="s">
        <v>167</v>
      </c>
      <c r="C19" s="509">
        <f>'2給報'!L22</f>
        <v>0</v>
      </c>
      <c r="D19" s="523">
        <f>C19</f>
        <v>0</v>
      </c>
      <c r="E19" s="542" t="s">
        <v>168</v>
      </c>
      <c r="F19" s="556"/>
      <c r="G19" s="542" t="s">
        <v>55</v>
      </c>
      <c r="H19" s="556"/>
      <c r="I19" s="576">
        <v>1950000</v>
      </c>
      <c r="J19" s="593">
        <v>3300000</v>
      </c>
      <c r="K19" s="605" t="s">
        <v>172</v>
      </c>
      <c r="L19" s="617">
        <f>F7*0.1-97500</f>
        <v>-192500</v>
      </c>
      <c r="M19" s="455"/>
      <c r="N19" s="632">
        <f>IF(AND(C10+C15+C17+C25+C34=0),0,IF(AND(C10+C15+C17+C25+C34&gt;=1),(D4-8500000)*0.1))</f>
        <v>0</v>
      </c>
    </row>
    <row r="20" spans="1:24" ht="11.25" customHeight="1">
      <c r="A20" s="465"/>
      <c r="B20" s="487" t="s">
        <v>169</v>
      </c>
      <c r="C20" s="510">
        <f>+'2給報'!N21</f>
        <v>0</v>
      </c>
      <c r="D20" s="524" t="s">
        <v>170</v>
      </c>
      <c r="E20" s="541">
        <f>'2給報'!AH27</f>
        <v>0</v>
      </c>
      <c r="F20" s="555">
        <f>ROUNDDOWN(O31,0)</f>
        <v>0</v>
      </c>
      <c r="G20" s="541">
        <f>'2給報'!AR27</f>
        <v>0</v>
      </c>
      <c r="H20" s="555">
        <f>ROUNDDOWN(Q31,0)</f>
        <v>0</v>
      </c>
      <c r="I20" s="572">
        <v>3300000</v>
      </c>
      <c r="J20" s="589">
        <v>6950000</v>
      </c>
      <c r="K20" s="606" t="s">
        <v>175</v>
      </c>
      <c r="L20" s="613">
        <f>F7*0.2-427500</f>
        <v>-617500</v>
      </c>
      <c r="M20" s="455"/>
      <c r="N20" s="633">
        <f>IF(AND(N19&lt;=0),0,IF(AND(N19&gt;=1,N19&lt;=150000),N19,IF(AND(N19&gt;=150001),150000,)))</f>
        <v>0</v>
      </c>
    </row>
    <row r="21" spans="1:24" ht="11.25" customHeight="1">
      <c r="A21" s="465"/>
      <c r="B21" s="482" t="s">
        <v>173</v>
      </c>
      <c r="C21" s="507">
        <f>+'2給報'!U21</f>
        <v>0</v>
      </c>
      <c r="D21" s="520">
        <f>C21</f>
        <v>0</v>
      </c>
      <c r="E21" s="542" t="s">
        <v>174</v>
      </c>
      <c r="F21" s="556"/>
      <c r="G21" s="543"/>
      <c r="H21" s="567"/>
      <c r="I21" s="572">
        <v>6950000</v>
      </c>
      <c r="J21" s="589">
        <v>9000000</v>
      </c>
      <c r="K21" s="606" t="s">
        <v>108</v>
      </c>
      <c r="L21" s="613">
        <f>F7*0.23-636000</f>
        <v>-854500</v>
      </c>
      <c r="M21" s="455"/>
    </row>
    <row r="22" spans="1:24" ht="11.25" customHeight="1">
      <c r="A22" s="466"/>
      <c r="B22" s="488" t="s">
        <v>176</v>
      </c>
      <c r="C22" s="508">
        <f>'2給報'!AD21</f>
        <v>0</v>
      </c>
      <c r="D22" s="520">
        <f>C22</f>
        <v>0</v>
      </c>
      <c r="E22" s="541">
        <f>'2給報'!Z27</f>
        <v>0</v>
      </c>
      <c r="F22" s="555">
        <f>ROUNDDOWN(O42,0)</f>
        <v>1000</v>
      </c>
      <c r="G22" s="543"/>
      <c r="H22" s="567"/>
      <c r="I22" s="572">
        <v>9000000</v>
      </c>
      <c r="J22" s="589">
        <v>17420000</v>
      </c>
      <c r="K22" s="606" t="s">
        <v>179</v>
      </c>
      <c r="L22" s="613">
        <f>F7*0.33-1536000</f>
        <v>-1849500</v>
      </c>
      <c r="M22" s="455"/>
    </row>
    <row r="23" spans="1:24" ht="11.25" customHeight="1">
      <c r="A23" s="467"/>
      <c r="B23" s="489" t="s">
        <v>178</v>
      </c>
      <c r="C23" s="511"/>
      <c r="D23" s="525">
        <f>C23</f>
        <v>0</v>
      </c>
      <c r="E23" s="543"/>
      <c r="F23" s="557"/>
      <c r="G23" s="543"/>
      <c r="H23" s="567"/>
      <c r="I23" s="574"/>
      <c r="J23" s="594"/>
      <c r="K23" s="607"/>
      <c r="L23" s="615"/>
      <c r="M23" s="455"/>
    </row>
    <row r="24" spans="1:24" ht="11.25" customHeight="1">
      <c r="A24" s="468" t="s">
        <v>183</v>
      </c>
      <c r="B24" s="490"/>
      <c r="C24" s="506">
        <f>'2給報'!AM21</f>
        <v>0</v>
      </c>
      <c r="D24" s="526"/>
      <c r="E24" s="542" t="s">
        <v>184</v>
      </c>
      <c r="F24" s="556"/>
      <c r="G24" s="543"/>
      <c r="K24" s="603" t="b">
        <f>IF(AND(I18&lt;F7,F7&lt;=J18),L18,IF(AND(I19&lt;F7,F7&lt;=J19),L19,IF(AND(I20&lt;F7,F7&lt;=J20),L20,IF(AND(I21&lt;F7,F7&lt;=J21),L21,IF(AND(I22&lt;F7,F7&lt;=J22),L22,IF(AND(I23&lt;F7),L23))))))</f>
        <v>0</v>
      </c>
      <c r="L24" s="567">
        <f>K24-C24</f>
        <v>0</v>
      </c>
      <c r="M24" s="455"/>
      <c r="N24" s="634"/>
    </row>
    <row r="25" spans="1:24" ht="11.25" customHeight="1">
      <c r="A25" s="469" t="s">
        <v>186</v>
      </c>
      <c r="B25" s="482" t="s">
        <v>71</v>
      </c>
      <c r="C25" s="507">
        <f>IF('2給報'!L43="〇",1,0)</f>
        <v>0</v>
      </c>
      <c r="D25" s="527">
        <f>C25*400000</f>
        <v>0</v>
      </c>
      <c r="E25" s="541">
        <f>'2給報'!AR33</f>
        <v>0</v>
      </c>
      <c r="F25" s="558">
        <f>O44</f>
        <v>1000</v>
      </c>
      <c r="G25" s="543"/>
      <c r="I25" s="455" t="s">
        <v>173</v>
      </c>
    </row>
    <row r="26" spans="1:24" ht="11.25" customHeight="1">
      <c r="A26" s="470"/>
      <c r="B26" s="485" t="s">
        <v>82</v>
      </c>
      <c r="C26" s="500">
        <f>IF('2給報'!N43="〇",1,0)</f>
        <v>0</v>
      </c>
      <c r="D26" s="520">
        <f>C26*270000</f>
        <v>0</v>
      </c>
      <c r="E26" s="543"/>
      <c r="F26" s="559"/>
      <c r="G26" s="543"/>
      <c r="I26" s="577" t="s">
        <v>4</v>
      </c>
      <c r="J26" s="595">
        <v>0</v>
      </c>
      <c r="K26" s="608">
        <v>25000</v>
      </c>
      <c r="L26" s="618" t="s">
        <v>187</v>
      </c>
      <c r="M26" s="622">
        <f>G18</f>
        <v>0</v>
      </c>
    </row>
    <row r="27" spans="1:24" ht="11.25" customHeight="1">
      <c r="A27" s="470"/>
      <c r="B27" s="485" t="s">
        <v>115</v>
      </c>
      <c r="C27" s="500"/>
      <c r="D27" s="520">
        <f>IF(E3&gt;10000000,0,C27*500000)</f>
        <v>0</v>
      </c>
      <c r="E27" s="543"/>
      <c r="F27" s="560"/>
      <c r="G27" s="543"/>
      <c r="I27" s="578"/>
      <c r="J27" s="596">
        <v>25001</v>
      </c>
      <c r="K27" s="609">
        <v>50000</v>
      </c>
      <c r="L27" s="619" t="s">
        <v>188</v>
      </c>
      <c r="M27" s="623">
        <f>ROUNDUP(G18*0.5+12500,0)</f>
        <v>12500</v>
      </c>
    </row>
    <row r="28" spans="1:24" ht="11.25" customHeight="1">
      <c r="A28" s="470"/>
      <c r="B28" s="485" t="s">
        <v>12</v>
      </c>
      <c r="C28" s="500">
        <f>IF('2給報'!P43="〇",1,0)</f>
        <v>0</v>
      </c>
      <c r="D28" s="520">
        <f>C28*270000</f>
        <v>0</v>
      </c>
      <c r="F28" s="559" t="s">
        <v>171</v>
      </c>
      <c r="I28" s="579"/>
      <c r="J28" s="596">
        <v>50001</v>
      </c>
      <c r="K28" s="610" t="s">
        <v>190</v>
      </c>
      <c r="L28" s="619" t="s">
        <v>8</v>
      </c>
      <c r="M28" s="623">
        <f>ROUNDUP(G18*0.25+25000,0)</f>
        <v>25000</v>
      </c>
      <c r="N28" s="455">
        <f>IF(AND(E18&lt;=K26),E18,IF(AND(J27&lt;=E18,E18&lt;=K27),M27,IF(AND(J28&lt;=E18),M28)))</f>
        <v>0</v>
      </c>
      <c r="O28" s="455">
        <f>IF(AND(E18&lt;=K29),E18,IF(AND(J30&lt;=E18,E18&lt;=K30),M30,IF(AND(J31&lt;=E18),M31)))</f>
        <v>0</v>
      </c>
    </row>
    <row r="29" spans="1:24" ht="11.25" customHeight="1">
      <c r="A29" s="470"/>
      <c r="B29" s="485" t="s">
        <v>189</v>
      </c>
      <c r="C29" s="500">
        <f>IF('2給報'!R43="〇",1,0)</f>
        <v>0</v>
      </c>
      <c r="D29" s="520">
        <f>C29*350000</f>
        <v>0</v>
      </c>
      <c r="F29" s="543" t="s">
        <v>7</v>
      </c>
      <c r="G29" s="567">
        <f>1+C7+C8+C10+C13+C14+C15+'2給報'!AG17-'2給報'!AS17</f>
        <v>1</v>
      </c>
      <c r="I29" s="580" t="s">
        <v>191</v>
      </c>
      <c r="J29" s="596">
        <v>0</v>
      </c>
      <c r="K29" s="609">
        <v>25000</v>
      </c>
      <c r="L29" s="619" t="s">
        <v>181</v>
      </c>
      <c r="M29" s="623">
        <f>G20</f>
        <v>0</v>
      </c>
      <c r="N29" s="455">
        <f>IF(N28&lt;=50000,N28,IF(50000&lt;=N28,50000))</f>
        <v>0</v>
      </c>
      <c r="O29" s="455">
        <f>IF(O28&lt;=50000,O28,IF(50000&lt;=O28,50000))</f>
        <v>0</v>
      </c>
    </row>
    <row r="30" spans="1:24" ht="11.25" customHeight="1">
      <c r="A30" s="470"/>
      <c r="B30" s="485"/>
      <c r="C30" s="500">
        <f>'2給報'!T43</f>
        <v>0</v>
      </c>
      <c r="D30" s="520">
        <f>C30*270000</f>
        <v>0</v>
      </c>
      <c r="F30" s="543" t="s">
        <v>154</v>
      </c>
      <c r="G30" s="455">
        <v>0</v>
      </c>
      <c r="I30" s="581"/>
      <c r="J30" s="596">
        <v>25001</v>
      </c>
      <c r="K30" s="609">
        <v>50000</v>
      </c>
      <c r="L30" s="619" t="s">
        <v>45</v>
      </c>
      <c r="M30" s="623">
        <f>ROUNDUP(G20*0.5+12500,0)</f>
        <v>12500</v>
      </c>
    </row>
    <row r="31" spans="1:24" ht="11.25" customHeight="1">
      <c r="A31" s="470"/>
      <c r="B31" s="485" t="s">
        <v>102</v>
      </c>
      <c r="C31" s="501">
        <f>IF('2給報'!V43="〇",1,0)</f>
        <v>0</v>
      </c>
      <c r="D31" s="520">
        <f>C31*270000</f>
        <v>0</v>
      </c>
      <c r="E31" s="543"/>
      <c r="F31" s="455" t="s">
        <v>152</v>
      </c>
      <c r="G31" s="567">
        <f>L24</f>
        <v>0</v>
      </c>
      <c r="I31" s="582"/>
      <c r="J31" s="596">
        <v>50001</v>
      </c>
      <c r="K31" s="610" t="s">
        <v>190</v>
      </c>
      <c r="L31" s="619" t="s">
        <v>75</v>
      </c>
      <c r="M31" s="623">
        <f>ROUNDUP(G20*0.25+25000,0)</f>
        <v>25000</v>
      </c>
    </row>
    <row r="32" spans="1:24" ht="18" customHeight="1">
      <c r="A32" s="471"/>
      <c r="B32" s="488" t="s">
        <v>192</v>
      </c>
      <c r="C32" s="512">
        <f>IF(D4&lt;=J49,K49,IF(AND(D4&gt;=I50,D4&lt;=J50),K50,IF(AND(D4&gt;=I51,D4&lt;=J51),K51,IF(AND(D4&gt;=I52,D4&lt;=J52),K52,IF(AND(D4&gt;=I53,D4&lt;=J53),K53,IF(D4&gt;=I54,K54))))))</f>
        <v>950000</v>
      </c>
      <c r="D32" s="528"/>
      <c r="F32" s="455" t="s">
        <v>32</v>
      </c>
      <c r="G32" s="567">
        <f>IF(G30&lt;=G31,G30,G31)</f>
        <v>0</v>
      </c>
      <c r="I32" s="578" t="s">
        <v>194</v>
      </c>
      <c r="J32" s="597">
        <v>0</v>
      </c>
      <c r="K32" s="611">
        <v>20000</v>
      </c>
      <c r="L32" s="620" t="s">
        <v>195</v>
      </c>
      <c r="M32" s="624">
        <f>E18</f>
        <v>0</v>
      </c>
    </row>
    <row r="33" spans="1:15" ht="16.5" customHeight="1">
      <c r="A33" s="472" t="s">
        <v>193</v>
      </c>
      <c r="B33" s="491"/>
      <c r="C33" s="513">
        <f>SUM(D8:D32)+C32</f>
        <v>950000</v>
      </c>
      <c r="D33" s="529"/>
      <c r="F33" s="455" t="s">
        <v>182</v>
      </c>
      <c r="G33" s="567">
        <f>IF(G30&lt;=G31,0,G30-G31)</f>
        <v>0</v>
      </c>
      <c r="I33" s="578"/>
      <c r="J33" s="596">
        <v>20001</v>
      </c>
      <c r="K33" s="609">
        <v>40000</v>
      </c>
      <c r="L33" s="619" t="s">
        <v>197</v>
      </c>
      <c r="M33" s="623">
        <f>ROUNDUP(E18*0.5+10000,0)</f>
        <v>10000</v>
      </c>
    </row>
    <row r="34" spans="1:15" ht="11.25" customHeight="1">
      <c r="B34" s="492" t="s">
        <v>196</v>
      </c>
      <c r="C34" s="455">
        <f>'2給報'!AG17</f>
        <v>0</v>
      </c>
      <c r="F34" s="455" t="s">
        <v>205</v>
      </c>
      <c r="G34" s="567">
        <f>+G31-G32</f>
        <v>0</v>
      </c>
      <c r="I34" s="579"/>
      <c r="J34" s="596">
        <v>40001</v>
      </c>
      <c r="K34" s="610" t="s">
        <v>190</v>
      </c>
      <c r="L34" s="619" t="s">
        <v>53</v>
      </c>
      <c r="M34" s="623">
        <f>ROUNDUP(E18*0.25+20000,0)</f>
        <v>20000</v>
      </c>
      <c r="N34" s="455">
        <f>IF(AND(E18&lt;=K32),E18,IF(AND(J33&lt;=E18,E18&lt;=K33),M33,IF(AND(J34&lt;=E18),M34)))</f>
        <v>0</v>
      </c>
      <c r="O34" s="455">
        <f>IF(AND(E20&lt;=K35),E20,IF(AND(J36&lt;=E20,E20&lt;=K36),M36,IF(AND(J37&lt;=E20),M37)))</f>
        <v>0</v>
      </c>
    </row>
    <row r="35" spans="1:15" ht="11.25" customHeight="1">
      <c r="I35" s="580" t="s">
        <v>198</v>
      </c>
      <c r="J35" s="596">
        <v>0</v>
      </c>
      <c r="K35" s="609">
        <v>20000</v>
      </c>
      <c r="L35" s="619" t="s">
        <v>185</v>
      </c>
      <c r="M35" s="623">
        <f>E20</f>
        <v>0</v>
      </c>
      <c r="N35" s="455">
        <f>IF(N34&lt;=40000,N34,IF(40000&lt;=N34,40000))</f>
        <v>0</v>
      </c>
      <c r="O35" s="455">
        <f>IF(O34&lt;=40000,O34,IF(40000&lt;=O34,0))</f>
        <v>0</v>
      </c>
    </row>
    <row r="36" spans="1:15" ht="11.25" customHeight="1">
      <c r="I36" s="581"/>
      <c r="J36" s="596">
        <v>20001</v>
      </c>
      <c r="K36" s="609">
        <v>40000</v>
      </c>
      <c r="L36" s="619" t="s">
        <v>199</v>
      </c>
      <c r="M36" s="623">
        <f>ROUNDUP(E20*0.5+10000,0)</f>
        <v>10000</v>
      </c>
    </row>
    <row r="37" spans="1:15" ht="11.25" customHeight="1">
      <c r="H37" s="567"/>
      <c r="I37" s="582"/>
      <c r="J37" s="596">
        <v>40001</v>
      </c>
      <c r="K37" s="610" t="s">
        <v>190</v>
      </c>
      <c r="L37" s="619" t="s">
        <v>18</v>
      </c>
      <c r="M37" s="623">
        <f>ROUNDUP(E20*0.25+20000,0)</f>
        <v>20000</v>
      </c>
    </row>
    <row r="38" spans="1:15" ht="11.25" customHeight="1">
      <c r="H38" s="570"/>
      <c r="I38" s="581" t="s">
        <v>149</v>
      </c>
      <c r="J38" s="597">
        <v>0</v>
      </c>
      <c r="K38" s="611">
        <v>25000</v>
      </c>
      <c r="L38" s="620" t="s">
        <v>166</v>
      </c>
      <c r="M38" s="624">
        <f>E22</f>
        <v>0</v>
      </c>
      <c r="N38" s="455">
        <f>IF(AND(E22&lt;=K38),E22,IF(AND(J39&lt;=E22,E22&lt;=K39),L39,IF(AND(J40&lt;=E22),L40)))</f>
        <v>0</v>
      </c>
    </row>
    <row r="39" spans="1:15" ht="11.25" customHeight="1">
      <c r="H39" s="570"/>
      <c r="I39" s="581"/>
      <c r="J39" s="596">
        <v>25001</v>
      </c>
      <c r="K39" s="609">
        <v>50000</v>
      </c>
      <c r="L39" s="619" t="s">
        <v>30</v>
      </c>
      <c r="M39" s="623">
        <f>ROUNDUP(E25*0.5+10000,0)</f>
        <v>10000</v>
      </c>
      <c r="N39" s="455">
        <f>IF(N38&lt;=40000,N38,IF(40000&lt;=N38,0))</f>
        <v>0</v>
      </c>
    </row>
    <row r="40" spans="1:15" ht="11.25" customHeight="1">
      <c r="I40" s="583"/>
      <c r="J40" s="598">
        <v>50001</v>
      </c>
      <c r="K40" s="591" t="s">
        <v>190</v>
      </c>
      <c r="L40" s="621" t="s">
        <v>177</v>
      </c>
      <c r="M40" s="625">
        <f>ROUNDUP(E25*0.25+20000,0)</f>
        <v>20000</v>
      </c>
    </row>
    <row r="41" spans="1:15" ht="11.25" customHeight="1">
      <c r="F41" s="544"/>
      <c r="G41" s="544"/>
      <c r="I41" s="455" t="s">
        <v>200</v>
      </c>
    </row>
    <row r="42" spans="1:15" ht="11.25" customHeight="1">
      <c r="E42" s="544"/>
      <c r="F42" s="544"/>
      <c r="G42" s="544"/>
      <c r="H42" s="567"/>
      <c r="I42" s="584" t="s">
        <v>201</v>
      </c>
      <c r="J42" s="595">
        <v>0</v>
      </c>
      <c r="K42" s="608">
        <v>10000</v>
      </c>
      <c r="L42" s="618" t="s">
        <v>187</v>
      </c>
      <c r="M42" s="626">
        <f>E25</f>
        <v>0</v>
      </c>
      <c r="N42" s="455">
        <f>IF(E25&lt;=K42,E25,M43)</f>
        <v>0</v>
      </c>
      <c r="O42" s="455">
        <f>IF(F28&lt;=K44,F28,M45)</f>
        <v>1000</v>
      </c>
    </row>
    <row r="43" spans="1:15" ht="11.25" customHeight="1">
      <c r="F43" s="345"/>
      <c r="G43" s="345"/>
      <c r="H43" s="567"/>
      <c r="I43" s="585"/>
      <c r="J43" s="596">
        <f>+K42+1</f>
        <v>10001</v>
      </c>
      <c r="K43" s="610" t="s">
        <v>190</v>
      </c>
      <c r="L43" s="619" t="s">
        <v>202</v>
      </c>
      <c r="M43" s="627">
        <f>E25*0.5+5000</f>
        <v>5000</v>
      </c>
      <c r="N43" s="455">
        <f>IF(N42&lt;=15000,N42,15000)</f>
        <v>0</v>
      </c>
      <c r="O43" s="455">
        <f>IF(O42&lt;=3000,O42,IF(3000&lt;=O42,3000))</f>
        <v>1000</v>
      </c>
    </row>
    <row r="44" spans="1:15" ht="11.25" customHeight="1">
      <c r="F44" s="544"/>
      <c r="G44" s="544"/>
      <c r="H44" s="567"/>
      <c r="I44" s="586" t="s">
        <v>180</v>
      </c>
      <c r="J44" s="596">
        <v>0</v>
      </c>
      <c r="K44" s="609">
        <v>2000</v>
      </c>
      <c r="L44" s="619" t="s">
        <v>203</v>
      </c>
      <c r="M44" s="627">
        <f>E23*0.5</f>
        <v>0</v>
      </c>
      <c r="O44" s="455">
        <f>IF(N43+O43&lt;=15000,N43+O43,IF(15000&lt;=N43+O43,15000))</f>
        <v>1000</v>
      </c>
    </row>
    <row r="45" spans="1:15" ht="11.25" customHeight="1">
      <c r="E45" s="544"/>
      <c r="F45" s="544"/>
      <c r="G45" s="544"/>
      <c r="H45" s="567"/>
      <c r="I45" s="587"/>
      <c r="J45" s="598">
        <f>+K44+1</f>
        <v>2001</v>
      </c>
      <c r="K45" s="591" t="s">
        <v>190</v>
      </c>
      <c r="L45" s="621" t="s">
        <v>204</v>
      </c>
      <c r="M45" s="628">
        <f>0*0.5+1000</f>
        <v>1000</v>
      </c>
    </row>
    <row r="46" spans="1:15" ht="11.25" customHeight="1">
      <c r="H46" s="567"/>
      <c r="I46" s="543"/>
      <c r="J46" s="543"/>
      <c r="M46" s="455"/>
    </row>
    <row r="47" spans="1:15" ht="11.25" customHeight="1">
      <c r="H47" s="567"/>
      <c r="I47" s="543" t="s">
        <v>192</v>
      </c>
      <c r="J47" s="543"/>
      <c r="M47" s="543" t="s">
        <v>80</v>
      </c>
      <c r="N47" s="543"/>
    </row>
    <row r="48" spans="1:15" ht="11.25" customHeight="1">
      <c r="I48" s="571" t="s">
        <v>137</v>
      </c>
      <c r="J48" s="588"/>
      <c r="K48" s="599" t="s">
        <v>92</v>
      </c>
      <c r="M48" s="571" t="s">
        <v>137</v>
      </c>
      <c r="N48" s="588"/>
      <c r="O48" s="599" t="s">
        <v>92</v>
      </c>
    </row>
    <row r="49" spans="8:19" ht="11.25" customHeight="1">
      <c r="I49" s="572">
        <v>0</v>
      </c>
      <c r="J49" s="589">
        <v>2000000</v>
      </c>
      <c r="K49" s="601">
        <f>480000+100000+370000</f>
        <v>950000</v>
      </c>
      <c r="M49" s="572">
        <v>0</v>
      </c>
      <c r="N49" s="589">
        <v>580000</v>
      </c>
      <c r="O49" s="601">
        <v>0</v>
      </c>
      <c r="S49" s="567"/>
    </row>
    <row r="50" spans="8:19" ht="11.25" customHeight="1">
      <c r="I50" s="572">
        <v>2000001</v>
      </c>
      <c r="J50" s="589">
        <v>4750000</v>
      </c>
      <c r="K50" s="601">
        <f>480000+100000+300000</f>
        <v>880000</v>
      </c>
      <c r="M50" s="572">
        <v>580001</v>
      </c>
      <c r="N50" s="589">
        <v>850000</v>
      </c>
      <c r="O50" s="601">
        <v>630000</v>
      </c>
      <c r="R50" s="567"/>
      <c r="S50" s="567"/>
    </row>
    <row r="51" spans="8:19" ht="11.25" customHeight="1">
      <c r="I51" s="572">
        <v>4750001</v>
      </c>
      <c r="J51" s="589">
        <v>6650000</v>
      </c>
      <c r="K51" s="601">
        <f>480000+100000+100000</f>
        <v>680000</v>
      </c>
      <c r="M51" s="572">
        <v>850001</v>
      </c>
      <c r="N51" s="589">
        <v>900000</v>
      </c>
      <c r="O51" s="601">
        <v>610000</v>
      </c>
      <c r="R51" s="567"/>
      <c r="S51" s="567"/>
    </row>
    <row r="52" spans="8:19" ht="11.25" customHeight="1">
      <c r="I52" s="572">
        <v>6650001</v>
      </c>
      <c r="J52" s="589">
        <v>8500000</v>
      </c>
      <c r="K52" s="601">
        <f>480000+100000+50000</f>
        <v>630000</v>
      </c>
      <c r="M52" s="572">
        <v>900001</v>
      </c>
      <c r="N52" s="589">
        <v>950000</v>
      </c>
      <c r="O52" s="601">
        <v>510000</v>
      </c>
      <c r="R52" s="567"/>
      <c r="S52" s="567"/>
    </row>
    <row r="53" spans="8:19" ht="11.25" customHeight="1">
      <c r="I53" s="572">
        <v>8500001</v>
      </c>
      <c r="J53" s="589">
        <v>25450000</v>
      </c>
      <c r="K53" s="601">
        <f>480000+100000</f>
        <v>580000</v>
      </c>
      <c r="M53" s="572">
        <v>950001</v>
      </c>
      <c r="N53" s="589">
        <v>1000000</v>
      </c>
      <c r="O53" s="601">
        <v>410000</v>
      </c>
      <c r="R53" s="567"/>
      <c r="S53" s="567"/>
    </row>
    <row r="54" spans="8:19" ht="11.25" customHeight="1">
      <c r="H54" s="567"/>
      <c r="I54" s="572">
        <v>25450001</v>
      </c>
      <c r="J54" s="589">
        <v>99999999</v>
      </c>
      <c r="K54" s="601">
        <v>0</v>
      </c>
      <c r="M54" s="572">
        <v>1000001</v>
      </c>
      <c r="N54" s="589">
        <v>1050000</v>
      </c>
      <c r="O54" s="601">
        <v>310000</v>
      </c>
      <c r="R54" s="567"/>
      <c r="S54" s="567"/>
    </row>
    <row r="55" spans="8:19" ht="11.25" customHeight="1">
      <c r="H55" s="567"/>
      <c r="I55" s="574"/>
      <c r="J55" s="591"/>
      <c r="K55" s="602"/>
      <c r="M55" s="572">
        <v>1050001</v>
      </c>
      <c r="N55" s="589">
        <v>1100000</v>
      </c>
      <c r="O55" s="601">
        <v>210000</v>
      </c>
      <c r="R55" s="567"/>
      <c r="S55" s="567"/>
    </row>
    <row r="56" spans="8:19" ht="11.25" customHeight="1">
      <c r="H56" s="567"/>
      <c r="M56" s="572">
        <v>1100001</v>
      </c>
      <c r="N56" s="589">
        <v>1150000</v>
      </c>
      <c r="O56" s="601">
        <v>110000</v>
      </c>
      <c r="R56" s="567"/>
      <c r="S56" s="567"/>
    </row>
    <row r="57" spans="8:19" ht="11.25" customHeight="1">
      <c r="H57" s="567"/>
      <c r="M57" s="572">
        <v>1150001</v>
      </c>
      <c r="N57" s="589">
        <v>1200000</v>
      </c>
      <c r="O57" s="601">
        <v>60000</v>
      </c>
      <c r="R57" s="567"/>
      <c r="S57" s="567"/>
    </row>
    <row r="58" spans="8:19" ht="11.25" customHeight="1">
      <c r="M58" s="572">
        <v>1200001</v>
      </c>
      <c r="N58" s="589">
        <v>1230000</v>
      </c>
      <c r="O58" s="601">
        <v>30000</v>
      </c>
      <c r="R58" s="567"/>
      <c r="S58" s="567"/>
    </row>
    <row r="59" spans="8:19" ht="11.25" customHeight="1">
      <c r="M59" s="572">
        <v>1230001</v>
      </c>
      <c r="N59" s="589">
        <v>99349999</v>
      </c>
      <c r="O59" s="601">
        <v>0</v>
      </c>
      <c r="R59" s="567"/>
      <c r="S59" s="567"/>
    </row>
    <row r="60" spans="8:19" ht="11.25" customHeight="1">
      <c r="M60" s="574"/>
      <c r="N60" s="591"/>
      <c r="O60" s="602"/>
    </row>
    <row r="61" spans="8:19" ht="11.25" customHeight="1">
      <c r="M61" s="457" t="s">
        <v>90</v>
      </c>
      <c r="N61" s="567">
        <f>+'2給報'!L23</f>
        <v>0</v>
      </c>
    </row>
    <row r="62" spans="8:19" ht="11.25" customHeight="1">
      <c r="N62" s="455" t="s">
        <v>210</v>
      </c>
      <c r="O62" s="567">
        <f>IF(AND(M49&lt;=N61,N61&lt;=N49),O49,IF(AND(M50&lt;=N61,N61&lt;=N50),O50,IF(AND(M51&lt;=N61,N61&lt;=N51),O51,IF(AND(M52&lt;=N61,N61&lt;=N52),O52,IF(AND(M53&lt;=N61,N61&lt;=N53),O53,IF(AND(M54&lt;=N61,N61&lt;=N54),O54,IF(AND(M55&lt;=N61,N61&lt;=N55),O55,IF(AND(M56&lt;=N61,N61&lt;=N56),O56,IF(AND(M57&lt;=N61,N61&lt;=N57),O57,IF(AND(M58&lt;=N61,N61&lt;=N58),O58,IF(AND(M59&lt;=N61,N61&lt;=N59),O59,"")))))))))))</f>
        <v>0</v>
      </c>
    </row>
    <row r="63" spans="8:19" ht="11.25" customHeight="1"/>
    <row r="64" spans="8:19" ht="11.25" customHeight="1"/>
    <row r="65" ht="11.25" customHeight="1"/>
    <row r="66" ht="11.25" customHeight="1"/>
    <row r="67" ht="11.25" customHeight="1"/>
  </sheetData>
  <mergeCells count="30">
    <mergeCell ref="I3:J3"/>
    <mergeCell ref="N3:Q3"/>
    <mergeCell ref="R3:X3"/>
    <mergeCell ref="N4:O4"/>
    <mergeCell ref="R4:S4"/>
    <mergeCell ref="E15:F15"/>
    <mergeCell ref="E17:F17"/>
    <mergeCell ref="G17:H17"/>
    <mergeCell ref="E19:F19"/>
    <mergeCell ref="G19:H19"/>
    <mergeCell ref="E21:F21"/>
    <mergeCell ref="E24:F24"/>
    <mergeCell ref="I48:J48"/>
    <mergeCell ref="M48:N48"/>
    <mergeCell ref="C1:C2"/>
    <mergeCell ref="A3:B6"/>
    <mergeCell ref="D4:D6"/>
    <mergeCell ref="E4:E5"/>
    <mergeCell ref="F4:F5"/>
    <mergeCell ref="G4:G5"/>
    <mergeCell ref="F7:F8"/>
    <mergeCell ref="G7:G8"/>
    <mergeCell ref="F9:F10"/>
    <mergeCell ref="G9:G10"/>
    <mergeCell ref="I26:I28"/>
    <mergeCell ref="I29:I31"/>
    <mergeCell ref="I32:I34"/>
    <mergeCell ref="I35:I37"/>
    <mergeCell ref="I38:I40"/>
    <mergeCell ref="I42:I43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2給報</vt:lpstr>
      <vt:lpstr>計算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鈴木 佑奈</cp:lastModifiedBy>
  <cp:lastPrinted>2019-10-31T04:09:49Z</cp:lastPrinted>
  <dcterms:created xsi:type="dcterms:W3CDTF">1997-01-08T22:48:59Z</dcterms:created>
  <dcterms:modified xsi:type="dcterms:W3CDTF">2025-12-12T00:52:57Z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2025-12-12T00:52:57Z</vt:filetime>
  </property>
</Properties>
</file>